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4" firstSheet="1" activeTab="9"/>
  </bookViews>
  <sheets>
    <sheet name="QUADRO DI RIEPILOGO" sheetId="1" state="hidden" r:id="rId1"/>
    <sheet name="DATI (2)" sheetId="2" r:id="rId2"/>
    <sheet name="DATI" sheetId="3" r:id="rId3"/>
    <sheet name="OC_01" sheetId="4" r:id="rId4"/>
    <sheet name="OC_02" sheetId="5" r:id="rId5"/>
    <sheet name="OC_03" sheetId="6" r:id="rId6"/>
    <sheet name="OC_4" sheetId="7" r:id="rId7"/>
    <sheet name="OC_05" sheetId="8" r:id="rId8"/>
    <sheet name="sin_oc_1" sheetId="9" r:id="rId9"/>
    <sheet name="riepilogo" sheetId="10" r:id="rId10"/>
  </sheets>
  <externalReferences>
    <externalReference r:id="rId13"/>
  </externalReferences>
  <definedNames>
    <definedName name="_xlnm.Print_Area" localSheetId="2">'DATI'!$A$1:$G$20</definedName>
    <definedName name="_xlnm.Print_Area" localSheetId="1">'DATI (2)'!$A$1:$G$20</definedName>
    <definedName name="_xlnm.Print_Area" localSheetId="3">'OC_01'!$D$2:$AC$45</definedName>
    <definedName name="_xlnm.Print_Area" localSheetId="0">'QUADRO DI RIEPILOGO'!$A$1:$G$30</definedName>
    <definedName name="_xlnm.Print_Area" localSheetId="9">'riepilogo'!$B$1:$AY$56</definedName>
    <definedName name="Excel_BuiltIn_Print_Area_5">#REF!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ahoma"/>
            <family val="2"/>
          </rPr>
          <t>inserirfe x in caso di rudere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 xml:space="preserve">nel caso si consideri il sottotetto aggiungere una quota pari al 60% - ossia al numero dei piani aggiungere uno 0,60
</t>
        </r>
      </text>
    </comment>
    <comment ref="S4" authorId="0">
      <text>
        <r>
          <rPr>
            <b/>
            <sz val="9"/>
            <color indexed="8"/>
            <rFont val="Tahoma"/>
            <family val="2"/>
          </rPr>
          <t xml:space="preserve">deve essere inserito manualmente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ahoma"/>
            <family val="2"/>
          </rPr>
          <t>inserirfe x in caso di rudere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 xml:space="preserve">nel caso si consideri il sottotetto aggiungere una quota pari al 60% - ossia al numero dei piani aggiungere uno 0,60
</t>
        </r>
      </text>
    </comment>
    <comment ref="S4" authorId="0">
      <text>
        <r>
          <rPr>
            <b/>
            <sz val="9"/>
            <color indexed="8"/>
            <rFont val="Tahoma"/>
            <family val="2"/>
          </rPr>
          <t xml:space="preserve">deve essere inserito manualmente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ahoma"/>
            <family val="2"/>
          </rPr>
          <t>inserirfe x in caso di rudere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 xml:space="preserve">nel caso si consideri il sottotetto aggiungere una quota pari al 60% - ossia al numero dei piani aggiungere uno 0,60
</t>
        </r>
      </text>
    </comment>
    <comment ref="S4" authorId="0">
      <text>
        <r>
          <rPr>
            <b/>
            <sz val="9"/>
            <color indexed="8"/>
            <rFont val="Tahoma"/>
            <family val="2"/>
          </rPr>
          <t xml:space="preserve">deve essere inserito manualmente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ahoma"/>
            <family val="2"/>
          </rPr>
          <t>inserirfe x in caso di rudere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 xml:space="preserve">nel caso si consideri il sottotetto aggiungere una quota pari al 60% - ossia al numero dei piani aggiungere uno 0,60
</t>
        </r>
      </text>
    </comment>
    <comment ref="S4" authorId="0">
      <text>
        <r>
          <rPr>
            <b/>
            <sz val="9"/>
            <color indexed="8"/>
            <rFont val="Tahoma"/>
            <family val="2"/>
          </rPr>
          <t xml:space="preserve">deve essere inserito manualmente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ahoma"/>
            <family val="2"/>
          </rPr>
          <t>inserirfe x in caso di rudere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 xml:space="preserve">nel caso si consideri il sottotetto aggiungere una quota pari al 60% - ossia al numero dei piani aggiungere uno 0,60
</t>
        </r>
      </text>
    </comment>
    <comment ref="S4" authorId="0">
      <text>
        <r>
          <rPr>
            <b/>
            <sz val="9"/>
            <color indexed="8"/>
            <rFont val="Tahoma"/>
            <family val="2"/>
          </rPr>
          <t xml:space="preserve">deve essere inserito manualmente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ahoma"/>
            <family val="2"/>
          </rPr>
          <t>inserirfe x in caso di rudere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 xml:space="preserve">nel caso si consideri il sottotetto aggiungere una quota pari al 60% - ossia al numero dei piani aggiungere uno 0,60
</t>
        </r>
      </text>
    </comment>
    <comment ref="S4" authorId="0">
      <text>
        <r>
          <rPr>
            <b/>
            <sz val="9"/>
            <color indexed="8"/>
            <rFont val="Tahoma"/>
            <family val="2"/>
          </rPr>
          <t xml:space="preserve">deve essere inserito manualmente
</t>
        </r>
      </text>
    </comment>
  </commentList>
</comments>
</file>

<file path=xl/sharedStrings.xml><?xml version="1.0" encoding="utf-8"?>
<sst xmlns="http://schemas.openxmlformats.org/spreadsheetml/2006/main" count="898" uniqueCount="151">
  <si>
    <t>Piani di Ricostruzione ex art. 14, co. 5bis, Legge 77/2009</t>
  </si>
  <si>
    <t>Comune di Campotosto</t>
  </si>
  <si>
    <t>Comune di Campotosto - Piano di Ricostruzione -  Ambito B  -</t>
  </si>
  <si>
    <t xml:space="preserve">PIANO DI RICOSTRUZIONE - AMBITO B - </t>
  </si>
  <si>
    <t>QUADRO TECNICO ECONOMICO DI RIEPILOGO</t>
  </si>
  <si>
    <t>TIPOLOGIA</t>
  </si>
  <si>
    <t>IMPORTI TOTALI</t>
  </si>
  <si>
    <t>EDILIZIA PRIVATA</t>
  </si>
  <si>
    <t>€</t>
  </si>
  <si>
    <t>EDILIZIA RESIDENZIALE PUBBLICA</t>
  </si>
  <si>
    <t>EDILIZIA PUBBLICA E PER IL CULTO</t>
  </si>
  <si>
    <t>di cui</t>
  </si>
  <si>
    <t>1. Edifici di interesse strategico</t>
  </si>
  <si>
    <t>2. Edifici non di interesse strategico</t>
  </si>
  <si>
    <t>3. Edifici per il culto</t>
  </si>
  <si>
    <t>RETI E SPAZI PUBBLICI</t>
  </si>
  <si>
    <t>1. Rete servizi</t>
  </si>
  <si>
    <t>2. Rete viaria</t>
  </si>
  <si>
    <t>3. Spazi pubblici</t>
  </si>
  <si>
    <t xml:space="preserve">IMPORTO TOTALE FINALE </t>
  </si>
  <si>
    <t>PARAMETRI UTILIZZATI NELLE SCHEDE DEI PRIVATI</t>
  </si>
  <si>
    <t>COSTO RIPARAZIONE EDIFICI B E C</t>
  </si>
  <si>
    <t>euro mq</t>
  </si>
  <si>
    <t xml:space="preserve">costo demolizione edifici E </t>
  </si>
  <si>
    <t>euro a mc</t>
  </si>
  <si>
    <t>PREZZO BASE RIPARAZIONE EDIFICI E</t>
  </si>
  <si>
    <t>ordinario</t>
  </si>
  <si>
    <t xml:space="preserve">pregio </t>
  </si>
  <si>
    <t xml:space="preserve">Ed. E                     1276,64 € x SC.           2127,67 € x SC.           2553,28 € x SC.   </t>
  </si>
  <si>
    <t>vincolato</t>
  </si>
  <si>
    <t xml:space="preserve">quota  incidenza SL-SU e </t>
  </si>
  <si>
    <t xml:space="preserve">quota  incidenza SNR </t>
  </si>
  <si>
    <t>quota riduzione danni presistenti</t>
  </si>
  <si>
    <t xml:space="preserve">EDILIZIA PRIVATA  agg. </t>
  </si>
  <si>
    <t>OC_01</t>
  </si>
  <si>
    <t>(num. DPC</t>
  </si>
  <si>
    <t>1600496)</t>
  </si>
  <si>
    <t>foglio catastale 46</t>
  </si>
  <si>
    <t>DATI CARATTERISTICI</t>
  </si>
  <si>
    <t>IMPORTO LAVORI INDENNIZZABILI</t>
  </si>
  <si>
    <t>presenza E NELL'AGGREGATO</t>
  </si>
  <si>
    <t>tag prima casa</t>
  </si>
  <si>
    <t>text aggregato (s/n)</t>
  </si>
  <si>
    <t xml:space="preserve">PARTIC.
</t>
  </si>
  <si>
    <t>sub</t>
  </si>
  <si>
    <t xml:space="preserve">PRIME CASE </t>
  </si>
  <si>
    <t>Rudere</t>
  </si>
  <si>
    <t>cat. Catastale</t>
  </si>
  <si>
    <t>DEST. USO</t>
  </si>
  <si>
    <t>INDIRIZZO</t>
  </si>
  <si>
    <t xml:space="preserve"> NUM. PIANI (*)</t>
  </si>
  <si>
    <t xml:space="preserve"> ALTEZZA EDIFICI       (m)</t>
  </si>
  <si>
    <t xml:space="preserve"> PREGIO               1 ordinario                 2  pregio             3 vincolato</t>
  </si>
  <si>
    <t>.Esito Scheda AEdEs</t>
  </si>
  <si>
    <t>note</t>
  </si>
  <si>
    <t>Sup. lorda di piano (mq)</t>
  </si>
  <si>
    <t>Sup. lorda TOTALE  SL (mq)</t>
  </si>
  <si>
    <t>Sup. utile residenziale SU (mq)</t>
  </si>
  <si>
    <t>Sup. utile non residenziale SNR  (mq)</t>
  </si>
  <si>
    <t>Sup. Utile Complessiva (SU + 60%Snr)</t>
  </si>
  <si>
    <t xml:space="preserve">Edifici A     9687,52  </t>
  </si>
  <si>
    <t>Edifici A               (114,01  € x S.L.)+ 9687,52 (in aggregato con E)</t>
  </si>
  <si>
    <r>
      <t xml:space="preserve">Edifici B/C            </t>
    </r>
    <r>
      <rPr>
        <sz val="10"/>
        <color indexed="8"/>
        <rFont val="Garamond"/>
        <family val="1"/>
      </rPr>
      <t>se in aggregato  (114,01 € x S.L.) + (225,86 € x S.L.)           se singolo           (116,25 € x S.L.) + (225,86 € x S.L.)</t>
    </r>
  </si>
  <si>
    <t xml:space="preserve">Edifici B/C                  (114,01 € x1,3x S.L.) +    (225,86 € x 1,3 xS.L.) </t>
  </si>
  <si>
    <t>ed. E da demolire</t>
  </si>
  <si>
    <t>Ed. E      Contributo per demolizione e Oneri smaltimento</t>
  </si>
  <si>
    <t>Quota riduzione per condizioni di fatiscenza pre-sisma</t>
  </si>
  <si>
    <t xml:space="preserve">TOTALE IMPORTO LAVORI </t>
  </si>
  <si>
    <t>S</t>
  </si>
  <si>
    <t>1</t>
  </si>
  <si>
    <t>A3</t>
  </si>
  <si>
    <t>R</t>
  </si>
  <si>
    <t>A</t>
  </si>
  <si>
    <t>2</t>
  </si>
  <si>
    <t>C1</t>
  </si>
  <si>
    <t>AU</t>
  </si>
  <si>
    <t>a2</t>
  </si>
  <si>
    <t>E</t>
  </si>
  <si>
    <t>TOTALE IMPRONTA A TERRA AGGREGATO</t>
  </si>
  <si>
    <t>TOTALE SUPERFICIE</t>
  </si>
  <si>
    <t>Rapporto sup. R1/ Sup. aggregato</t>
  </si>
  <si>
    <t>Rapporto sup. R2/ Sup. aggregato</t>
  </si>
  <si>
    <t>Rapporto sup. L AU/sup. aggregato</t>
  </si>
  <si>
    <t>EDILIZIA PRIVATA  ONERI ACCESSORI</t>
  </si>
  <si>
    <t>TOTALI</t>
  </si>
  <si>
    <t>S.utile</t>
  </si>
  <si>
    <t>S. lorda</t>
  </si>
  <si>
    <t>prima casa</t>
  </si>
  <si>
    <t>totale</t>
  </si>
  <si>
    <t>DATI DA INSERIRE NEL QTE GENERALE</t>
  </si>
  <si>
    <t>Esito Scheda AEdEs</t>
  </si>
  <si>
    <t>Sup. lorda totale  SL (mq)</t>
  </si>
  <si>
    <t>IVA sui lavori</t>
  </si>
  <si>
    <t>PRESIDENTE CONSORZIO</t>
  </si>
  <si>
    <t>INPS presidente consorzio</t>
  </si>
  <si>
    <t>IVA presidente consorzio</t>
  </si>
  <si>
    <t>INDAGINI GEOLOGICHE, GEOTECNICHE (***)</t>
  </si>
  <si>
    <t>IVA SU INDAGINI GEOLOGICHE, GEOTECNICHE (***)</t>
  </si>
  <si>
    <t>COMPETENZE GEOLOGO</t>
  </si>
  <si>
    <t>Oneri previdenziali geologi</t>
  </si>
  <si>
    <t>IVA su competenze  geologo</t>
  </si>
  <si>
    <t>ONERI TECNICI (progettazione DL., sicurezza, collaudo)</t>
  </si>
  <si>
    <t>Oneri previdenziali sugli oneri tecnici</t>
  </si>
  <si>
    <t>IVA sugli oneri tecnici</t>
  </si>
  <si>
    <t>TOTALE ONERI ACCESSORI</t>
  </si>
  <si>
    <t>TOTALE  IMPORTO LAVORI
 con
 ONERI ACCESSORI</t>
  </si>
  <si>
    <t>CONTRIBUTO COMPLESSIVO AGGREGATO</t>
  </si>
  <si>
    <t>B/C</t>
  </si>
  <si>
    <t xml:space="preserve">tutti gli esiti </t>
  </si>
  <si>
    <t>E - resid</t>
  </si>
  <si>
    <t>E - AU</t>
  </si>
  <si>
    <t>E -R1</t>
  </si>
  <si>
    <t>E - R2</t>
  </si>
  <si>
    <t>B -R1</t>
  </si>
  <si>
    <t>B - R2</t>
  </si>
  <si>
    <t>B - AU</t>
  </si>
  <si>
    <t>A -R1</t>
  </si>
  <si>
    <t>A - R2</t>
  </si>
  <si>
    <t>A - AU</t>
  </si>
  <si>
    <t>sup tot</t>
  </si>
  <si>
    <t>SUP RESID</t>
  </si>
  <si>
    <t>SUP AU</t>
  </si>
  <si>
    <t>R/stot</t>
  </si>
  <si>
    <t>AU/stot</t>
  </si>
  <si>
    <t>CALCOLO INCIDENZA PROVE GEOLOGICHE</t>
  </si>
  <si>
    <t>TOTALE</t>
  </si>
  <si>
    <t>U.I.</t>
  </si>
  <si>
    <t>(*) Si considera un incremento del 0,60 per considerare la presenza del sottotetto eventualmente accessibile.</t>
  </si>
  <si>
    <t>Tutte le A</t>
  </si>
  <si>
    <t xml:space="preserve">(**) Non si è operato l’abbattimento all’80% ed il limite di € 80.000 previsti dalle ordinanze che regolano la ricostruzione per LE PARTI PRIVATE non potendosi definire a priori le modalità di attuazione dell’aggregato </t>
  </si>
  <si>
    <t xml:space="preserve">(***) Si applica, ove si verifichi la condizione, la limitazione dell'importo minimo di 5.000,00 euro, pertanto gli importi sono ripartiti in funzione delle rispettive superfici ai fini dell'applicazione dell'IVA </t>
  </si>
  <si>
    <t>totate altri usi</t>
  </si>
  <si>
    <t>OC_02</t>
  </si>
  <si>
    <t>1600540)</t>
  </si>
  <si>
    <t>Edifici A                        (114,01  € x S.L.)+ 9687,52 (agg. con E)</t>
  </si>
  <si>
    <t>Edifici B/C                           aggr. A (114,01 € x S.L.) + (225,86 € x S.L.)           singolo  (116,25 € x S.L.) + (225,86 € x S.L.)</t>
  </si>
  <si>
    <t>C2</t>
  </si>
  <si>
    <t>OC_03</t>
  </si>
  <si>
    <t>1600533)</t>
  </si>
  <si>
    <t>OC_04</t>
  </si>
  <si>
    <t>4926735)</t>
  </si>
  <si>
    <t>OC_05</t>
  </si>
  <si>
    <t>4926731)</t>
  </si>
  <si>
    <t>EDILIZIA PRIVATA  ed. singolo</t>
  </si>
  <si>
    <t>oc_1</t>
  </si>
  <si>
    <t>1600559)</t>
  </si>
  <si>
    <t>DATI DA INSERIRE NEL QTE GENERALE – f1 Mascioni</t>
  </si>
  <si>
    <t>Sommano €</t>
  </si>
  <si>
    <t>Importo contributo della scheda</t>
  </si>
  <si>
    <t>differenza</t>
  </si>
  <si>
    <t>sin_oc_1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</si>
</sst>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0%"/>
    <numFmt numFmtId="167" formatCode="_-&quot;€ &quot;* #,##0.00_-;&quot;-€ &quot;* #,##0.00_-;_-&quot;€ &quot;* \-??_-;_-@_-"/>
    <numFmt numFmtId="168" formatCode="#,##0.00"/>
    <numFmt numFmtId="169" formatCode="0.00"/>
    <numFmt numFmtId="170" formatCode="@"/>
    <numFmt numFmtId="171" formatCode="_-[$€-410]\ * #,##0.00_-;\-[$€-410]\ * #,##0.00_-;_-[$€-410]\ * \-??_-;_-@_-"/>
    <numFmt numFmtId="172" formatCode="0.00%"/>
    <numFmt numFmtId="173" formatCode="[$€-410]\ #,##0.00;[RED]\-[$€-410]\ #,##0.00"/>
    <numFmt numFmtId="174" formatCode="#,###.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2"/>
    </font>
    <font>
      <sz val="10"/>
      <name val="Mangal"/>
      <family val="2"/>
    </font>
    <font>
      <b/>
      <sz val="10"/>
      <color indexed="8"/>
      <name val="Verdana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Verdana"/>
      <family val="2"/>
    </font>
    <font>
      <b/>
      <sz val="16"/>
      <color indexed="10"/>
      <name val="Verdana"/>
      <family val="2"/>
    </font>
    <font>
      <b/>
      <sz val="12"/>
      <color indexed="8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i/>
      <sz val="11"/>
      <color indexed="10"/>
      <name val="Verdana"/>
      <family val="2"/>
    </font>
    <font>
      <b/>
      <sz val="11"/>
      <color indexed="10"/>
      <name val="Verdana"/>
      <family val="2"/>
    </font>
    <font>
      <b/>
      <sz val="16"/>
      <color indexed="60"/>
      <name val="Verdana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8"/>
      <color indexed="8"/>
      <name val="Garamond"/>
      <family val="1"/>
    </font>
    <font>
      <b/>
      <sz val="24"/>
      <color indexed="8"/>
      <name val="Garamond"/>
      <family val="1"/>
    </font>
    <font>
      <b/>
      <sz val="16"/>
      <color indexed="8"/>
      <name val="Garamond"/>
      <family val="1"/>
    </font>
    <font>
      <sz val="11"/>
      <name val="Garamond"/>
      <family val="1"/>
    </font>
    <font>
      <sz val="11"/>
      <color indexed="12"/>
      <name val="Garamond"/>
      <family val="1"/>
    </font>
    <font>
      <b/>
      <sz val="9"/>
      <color indexed="8"/>
      <name val="Tahoma"/>
      <family val="2"/>
    </font>
    <font>
      <sz val="10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12"/>
      <name val="Garamond"/>
      <family val="1"/>
    </font>
    <font>
      <sz val="14"/>
      <color indexed="12"/>
      <name val="Garamond"/>
      <family val="1"/>
    </font>
    <font>
      <b/>
      <sz val="16"/>
      <color indexed="12"/>
      <name val="Garamond"/>
      <family val="1"/>
    </font>
    <font>
      <b/>
      <sz val="16"/>
      <color indexed="10"/>
      <name val="Garamond"/>
      <family val="1"/>
    </font>
    <font>
      <b/>
      <sz val="14"/>
      <color indexed="12"/>
      <name val="Garamond"/>
      <family val="1"/>
    </font>
    <font>
      <sz val="16"/>
      <color indexed="12"/>
      <name val="Garamond"/>
      <family val="1"/>
    </font>
    <font>
      <b/>
      <sz val="9"/>
      <color indexed="10"/>
      <name val="Garamond"/>
      <family val="1"/>
    </font>
    <font>
      <sz val="16"/>
      <color indexed="8"/>
      <name val="Garamond"/>
      <family val="1"/>
    </font>
    <font>
      <sz val="14"/>
      <color indexed="8"/>
      <name val="Garamond"/>
      <family val="1"/>
    </font>
    <font>
      <sz val="16"/>
      <name val="Garamond"/>
      <family val="1"/>
    </font>
    <font>
      <sz val="16"/>
      <color indexed="10"/>
      <name val="Garamond"/>
      <family val="1"/>
    </font>
    <font>
      <b/>
      <sz val="18"/>
      <name val="Garamond"/>
      <family val="1"/>
    </font>
    <font>
      <b/>
      <sz val="8"/>
      <color indexed="10"/>
      <name val="Garamond"/>
      <family val="1"/>
    </font>
    <font>
      <b/>
      <sz val="11"/>
      <color indexed="10"/>
      <name val="Garamond"/>
      <family val="1"/>
    </font>
    <font>
      <b/>
      <sz val="12"/>
      <color indexed="8"/>
      <name val="Garamond"/>
      <family val="1"/>
    </font>
    <font>
      <b/>
      <sz val="12"/>
      <name val="Arial"/>
      <family val="2"/>
    </font>
    <font>
      <b/>
      <sz val="14"/>
      <color indexed="8"/>
      <name val="Garamond"/>
      <family val="1"/>
    </font>
    <font>
      <sz val="14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sz val="9"/>
      <color indexed="8"/>
      <name val="Garamond"/>
      <family val="1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</fills>
  <borders count="113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double">
        <color indexed="10"/>
      </bottom>
    </border>
    <border>
      <left style="medium">
        <color indexed="10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thin">
        <color indexed="10"/>
      </left>
      <right style="hair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double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hair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medium">
        <color indexed="10"/>
      </right>
      <top>
        <color indexed="63"/>
      </top>
      <bottom style="hair">
        <color indexed="10"/>
      </bottom>
    </border>
    <border>
      <left style="medium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hair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medium">
        <color indexed="10"/>
      </right>
      <top style="hair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hair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98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3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" fillId="0" borderId="0">
      <alignment/>
      <protection/>
    </xf>
    <xf numFmtId="164" fontId="2" fillId="2" borderId="0" applyNumberFormat="0" applyBorder="0" applyAlignment="0" applyProtection="0"/>
  </cellStyleXfs>
  <cellXfs count="315">
    <xf numFmtId="164" fontId="0" fillId="0" borderId="0" xfId="0" applyAlignment="1">
      <alignment/>
    </xf>
    <xf numFmtId="164" fontId="1" fillId="0" borderId="0" xfId="529">
      <alignment/>
      <protection/>
    </xf>
    <xf numFmtId="164" fontId="4" fillId="0" borderId="1" xfId="529" applyFont="1" applyBorder="1" applyAlignment="1">
      <alignment horizontal="center"/>
      <protection/>
    </xf>
    <xf numFmtId="164" fontId="5" fillId="0" borderId="2" xfId="529" applyFont="1" applyBorder="1" applyAlignment="1">
      <alignment horizontal="center"/>
      <protection/>
    </xf>
    <xf numFmtId="164" fontId="6" fillId="0" borderId="3" xfId="529" applyFont="1" applyBorder="1" applyAlignment="1">
      <alignment horizontal="center"/>
      <protection/>
    </xf>
    <xf numFmtId="164" fontId="7" fillId="0" borderId="0" xfId="529" applyFont="1" applyBorder="1" applyAlignment="1">
      <alignment horizontal="center"/>
      <protection/>
    </xf>
    <xf numFmtId="164" fontId="7" fillId="0" borderId="0" xfId="529" applyFont="1">
      <alignment/>
      <protection/>
    </xf>
    <xf numFmtId="164" fontId="8" fillId="3" borderId="4" xfId="982" applyFont="1" applyFill="1" applyBorder="1" applyAlignment="1">
      <alignment horizontal="center" vertical="center" wrapText="1"/>
      <protection/>
    </xf>
    <xf numFmtId="164" fontId="1" fillId="0" borderId="0" xfId="529" applyAlignment="1">
      <alignment vertical="top" wrapText="1"/>
      <protection/>
    </xf>
    <xf numFmtId="164" fontId="9" fillId="4" borderId="5" xfId="529" applyFont="1" applyFill="1" applyBorder="1" applyAlignment="1">
      <alignment horizontal="center" vertical="top" wrapText="1"/>
      <protection/>
    </xf>
    <xf numFmtId="164" fontId="9" fillId="4" borderId="6" xfId="529" applyFont="1" applyFill="1" applyBorder="1" applyAlignment="1">
      <alignment horizontal="center" vertical="top" wrapText="1"/>
      <protection/>
    </xf>
    <xf numFmtId="164" fontId="10" fillId="5" borderId="7" xfId="529" applyFont="1" applyFill="1" applyBorder="1" applyAlignment="1">
      <alignment horizontal="left" vertical="center"/>
      <protection/>
    </xf>
    <xf numFmtId="164" fontId="7" fillId="0" borderId="8" xfId="529" applyFont="1" applyBorder="1" applyAlignment="1">
      <alignment horizontal="center"/>
      <protection/>
    </xf>
    <xf numFmtId="168" fontId="11" fillId="0" borderId="9" xfId="529" applyNumberFormat="1" applyFont="1" applyBorder="1" applyAlignment="1">
      <alignment horizontal="right" vertical="center"/>
      <protection/>
    </xf>
    <xf numFmtId="164" fontId="11" fillId="0" borderId="10" xfId="529" applyFont="1" applyBorder="1" applyAlignment="1">
      <alignment horizontal="left" vertical="center"/>
      <protection/>
    </xf>
    <xf numFmtId="164" fontId="10" fillId="5" borderId="11" xfId="529" applyFont="1" applyFill="1" applyBorder="1" applyAlignment="1">
      <alignment horizontal="left" vertical="center" wrapText="1"/>
      <protection/>
    </xf>
    <xf numFmtId="164" fontId="7" fillId="0" borderId="12" xfId="529" applyFont="1" applyBorder="1" applyAlignment="1">
      <alignment horizontal="center"/>
      <protection/>
    </xf>
    <xf numFmtId="168" fontId="11" fillId="0" borderId="13" xfId="529" applyNumberFormat="1" applyFont="1" applyBorder="1" applyAlignment="1">
      <alignment horizontal="right" vertical="center"/>
      <protection/>
    </xf>
    <xf numFmtId="164" fontId="11" fillId="0" borderId="14" xfId="529" applyFont="1" applyBorder="1" applyAlignment="1">
      <alignment horizontal="left" vertical="center"/>
      <protection/>
    </xf>
    <xf numFmtId="164" fontId="10" fillId="5" borderId="15" xfId="529" applyFont="1" applyFill="1" applyBorder="1" applyAlignment="1">
      <alignment horizontal="left" vertical="center" wrapText="1"/>
      <protection/>
    </xf>
    <xf numFmtId="168" fontId="12" fillId="0" borderId="16" xfId="529" applyNumberFormat="1" applyFont="1" applyBorder="1" applyAlignment="1">
      <alignment horizontal="center" vertical="center"/>
      <protection/>
    </xf>
    <xf numFmtId="168" fontId="11" fillId="0" borderId="17" xfId="529" applyNumberFormat="1" applyFont="1" applyBorder="1" applyAlignment="1">
      <alignment horizontal="right" vertical="center"/>
      <protection/>
    </xf>
    <xf numFmtId="164" fontId="13" fillId="3" borderId="18" xfId="529" applyFont="1" applyFill="1" applyBorder="1" applyAlignment="1">
      <alignment horizontal="right" vertical="center"/>
      <protection/>
    </xf>
    <xf numFmtId="168" fontId="12" fillId="0" borderId="19" xfId="529" applyNumberFormat="1" applyFont="1" applyBorder="1" applyAlignment="1">
      <alignment horizontal="right" vertical="center"/>
      <protection/>
    </xf>
    <xf numFmtId="164" fontId="12" fillId="0" borderId="20" xfId="529" applyFont="1" applyBorder="1" applyAlignment="1">
      <alignment horizontal="left" vertical="center"/>
      <protection/>
    </xf>
    <xf numFmtId="168" fontId="11" fillId="0" borderId="21" xfId="529" applyNumberFormat="1" applyFont="1" applyBorder="1" applyAlignment="1">
      <alignment horizontal="right" vertical="center"/>
      <protection/>
    </xf>
    <xf numFmtId="164" fontId="11" fillId="0" borderId="22" xfId="529" applyFont="1" applyBorder="1" applyAlignment="1">
      <alignment horizontal="left" vertical="center"/>
      <protection/>
    </xf>
    <xf numFmtId="164" fontId="14" fillId="3" borderId="23" xfId="529" applyFont="1" applyFill="1" applyBorder="1" applyAlignment="1">
      <alignment horizontal="right" vertical="center" wrapText="1"/>
      <protection/>
    </xf>
    <xf numFmtId="168" fontId="12" fillId="0" borderId="24" xfId="529" applyNumberFormat="1" applyFont="1" applyBorder="1" applyAlignment="1">
      <alignment vertical="center"/>
      <protection/>
    </xf>
    <xf numFmtId="164" fontId="12" fillId="0" borderId="25" xfId="529" applyFont="1" applyBorder="1" applyAlignment="1">
      <alignment vertical="center"/>
      <protection/>
    </xf>
    <xf numFmtId="168" fontId="12" fillId="0" borderId="26" xfId="529" applyNumberFormat="1" applyFont="1" applyBorder="1" applyAlignment="1">
      <alignment vertical="center"/>
      <protection/>
    </xf>
    <xf numFmtId="164" fontId="12" fillId="0" borderId="27" xfId="529" applyFont="1" applyBorder="1" applyAlignment="1">
      <alignment vertical="center"/>
      <protection/>
    </xf>
    <xf numFmtId="164" fontId="14" fillId="3" borderId="28" xfId="529" applyFont="1" applyFill="1" applyBorder="1" applyAlignment="1">
      <alignment horizontal="right" vertical="center" wrapText="1"/>
      <protection/>
    </xf>
    <xf numFmtId="168" fontId="12" fillId="0" borderId="29" xfId="529" applyNumberFormat="1" applyFont="1" applyBorder="1" applyAlignment="1">
      <alignment vertical="center"/>
      <protection/>
    </xf>
    <xf numFmtId="164" fontId="12" fillId="0" borderId="30" xfId="529" applyFont="1" applyBorder="1" applyAlignment="1">
      <alignment vertical="center"/>
      <protection/>
    </xf>
    <xf numFmtId="168" fontId="12" fillId="0" borderId="31" xfId="529" applyNumberFormat="1" applyFont="1" applyBorder="1" applyAlignment="1">
      <alignment vertical="center"/>
      <protection/>
    </xf>
    <xf numFmtId="164" fontId="12" fillId="0" borderId="32" xfId="529" applyFont="1" applyBorder="1" applyAlignment="1">
      <alignment vertical="center"/>
      <protection/>
    </xf>
    <xf numFmtId="168" fontId="12" fillId="0" borderId="31" xfId="529" applyNumberFormat="1" applyFont="1" applyBorder="1" applyAlignment="1">
      <alignment horizontal="right" vertical="center"/>
      <protection/>
    </xf>
    <xf numFmtId="164" fontId="10" fillId="5" borderId="33" xfId="529" applyFont="1" applyFill="1" applyBorder="1" applyAlignment="1">
      <alignment horizontal="left" vertical="center" wrapText="1"/>
      <protection/>
    </xf>
    <xf numFmtId="164" fontId="13" fillId="3" borderId="34" xfId="529" applyFont="1" applyFill="1" applyBorder="1" applyAlignment="1">
      <alignment horizontal="right" vertical="center"/>
      <protection/>
    </xf>
    <xf numFmtId="168" fontId="12" fillId="0" borderId="35" xfId="529" applyNumberFormat="1" applyFont="1" applyBorder="1" applyAlignment="1">
      <alignment horizontal="right" vertical="center"/>
      <protection/>
    </xf>
    <xf numFmtId="164" fontId="12" fillId="0" borderId="36" xfId="529" applyFont="1" applyBorder="1" applyAlignment="1">
      <alignment vertical="center"/>
      <protection/>
    </xf>
    <xf numFmtId="169" fontId="7" fillId="0" borderId="0" xfId="529" applyNumberFormat="1" applyFont="1" applyBorder="1">
      <alignment/>
      <protection/>
    </xf>
    <xf numFmtId="164" fontId="14" fillId="3" borderId="37" xfId="529" applyFont="1" applyFill="1" applyBorder="1" applyAlignment="1">
      <alignment horizontal="right"/>
      <protection/>
    </xf>
    <xf numFmtId="168" fontId="12" fillId="0" borderId="24" xfId="529" applyNumberFormat="1" applyFont="1" applyBorder="1" applyAlignment="1">
      <alignment horizontal="right" vertical="center"/>
      <protection/>
    </xf>
    <xf numFmtId="164" fontId="12" fillId="0" borderId="25" xfId="529" applyFont="1" applyBorder="1" applyAlignment="1">
      <alignment horizontal="left"/>
      <protection/>
    </xf>
    <xf numFmtId="164" fontId="7" fillId="0" borderId="26" xfId="529" applyFont="1" applyBorder="1">
      <alignment/>
      <protection/>
    </xf>
    <xf numFmtId="164" fontId="7" fillId="0" borderId="27" xfId="529" applyFont="1" applyBorder="1">
      <alignment/>
      <protection/>
    </xf>
    <xf numFmtId="164" fontId="14" fillId="3" borderId="38" xfId="529" applyFont="1" applyFill="1" applyBorder="1" applyAlignment="1">
      <alignment horizontal="right"/>
      <protection/>
    </xf>
    <xf numFmtId="168" fontId="12" fillId="0" borderId="29" xfId="529" applyNumberFormat="1" applyFont="1" applyBorder="1" applyAlignment="1">
      <alignment horizontal="right" vertical="center"/>
      <protection/>
    </xf>
    <xf numFmtId="164" fontId="12" fillId="0" borderId="30" xfId="529" applyFont="1" applyBorder="1" applyAlignment="1">
      <alignment horizontal="left"/>
      <protection/>
    </xf>
    <xf numFmtId="164" fontId="7" fillId="0" borderId="31" xfId="529" applyFont="1" applyBorder="1">
      <alignment/>
      <protection/>
    </xf>
    <xf numFmtId="164" fontId="7" fillId="0" borderId="32" xfId="529" applyFont="1" applyBorder="1">
      <alignment/>
      <protection/>
    </xf>
    <xf numFmtId="164" fontId="14" fillId="3" borderId="39" xfId="529" applyFont="1" applyFill="1" applyBorder="1" applyAlignment="1">
      <alignment horizontal="right"/>
      <protection/>
    </xf>
    <xf numFmtId="164" fontId="12" fillId="0" borderId="20" xfId="529" applyFont="1" applyBorder="1" applyAlignment="1">
      <alignment horizontal="left"/>
      <protection/>
    </xf>
    <xf numFmtId="164" fontId="7" fillId="0" borderId="40" xfId="529" applyFont="1" applyBorder="1">
      <alignment/>
      <protection/>
    </xf>
    <xf numFmtId="164" fontId="7" fillId="0" borderId="41" xfId="529" applyFont="1" applyBorder="1">
      <alignment/>
      <protection/>
    </xf>
    <xf numFmtId="164" fontId="15" fillId="5" borderId="42" xfId="529" applyFont="1" applyFill="1" applyBorder="1" applyAlignment="1">
      <alignment horizontal="left" vertical="center"/>
      <protection/>
    </xf>
    <xf numFmtId="168" fontId="15" fillId="5" borderId="43" xfId="529" applyNumberFormat="1" applyFont="1" applyFill="1" applyBorder="1" applyAlignment="1">
      <alignment horizontal="right" vertical="center"/>
      <protection/>
    </xf>
    <xf numFmtId="168" fontId="15" fillId="5" borderId="44" xfId="529" applyNumberFormat="1" applyFont="1" applyFill="1" applyBorder="1" applyAlignment="1">
      <alignment horizontal="left" vertical="center"/>
      <protection/>
    </xf>
    <xf numFmtId="164" fontId="1" fillId="0" borderId="0" xfId="529" applyAlignment="1">
      <alignment/>
      <protection/>
    </xf>
    <xf numFmtId="164" fontId="16" fillId="0" borderId="0" xfId="529" applyFont="1">
      <alignment/>
      <protection/>
    </xf>
    <xf numFmtId="164" fontId="1" fillId="0" borderId="0" xfId="322">
      <alignment/>
      <protection/>
    </xf>
    <xf numFmtId="164" fontId="19" fillId="0" borderId="0" xfId="322" applyFont="1">
      <alignment/>
      <protection/>
    </xf>
    <xf numFmtId="164" fontId="19" fillId="6" borderId="0" xfId="322" applyFont="1" applyFill="1">
      <alignment/>
      <protection/>
    </xf>
    <xf numFmtId="164" fontId="19" fillId="6" borderId="0" xfId="322" applyFont="1" applyFill="1" applyAlignment="1">
      <alignment horizontal="center"/>
      <protection/>
    </xf>
    <xf numFmtId="164" fontId="1" fillId="6" borderId="0" xfId="322" applyFill="1">
      <alignment/>
      <protection/>
    </xf>
    <xf numFmtId="169" fontId="1" fillId="6" borderId="0" xfId="322" applyNumberFormat="1" applyFill="1">
      <alignment/>
      <protection/>
    </xf>
    <xf numFmtId="164" fontId="2" fillId="0" borderId="0" xfId="322" applyFont="1">
      <alignment/>
      <protection/>
    </xf>
    <xf numFmtId="164" fontId="2" fillId="0" borderId="0" xfId="322" applyFont="1" applyAlignment="1">
      <alignment wrapText="1"/>
      <protection/>
    </xf>
    <xf numFmtId="164" fontId="2" fillId="6" borderId="0" xfId="322" applyFont="1" applyFill="1">
      <alignment/>
      <protection/>
    </xf>
    <xf numFmtId="164" fontId="2" fillId="0" borderId="0" xfId="322" applyFont="1" applyBorder="1">
      <alignment/>
      <protection/>
    </xf>
    <xf numFmtId="164" fontId="20" fillId="7" borderId="45" xfId="322" applyFont="1" applyFill="1" applyBorder="1" applyAlignment="1">
      <alignment vertical="center"/>
      <protection/>
    </xf>
    <xf numFmtId="164" fontId="20" fillId="7" borderId="46" xfId="322" applyFont="1" applyFill="1" applyBorder="1" applyAlignment="1">
      <alignment vertical="center"/>
      <protection/>
    </xf>
    <xf numFmtId="164" fontId="21" fillId="7" borderId="46" xfId="322" applyFont="1" applyFill="1" applyBorder="1" applyAlignment="1">
      <alignment vertical="center"/>
      <protection/>
    </xf>
    <xf numFmtId="164" fontId="20" fillId="7" borderId="47" xfId="322" applyFont="1" applyFill="1" applyBorder="1" applyAlignment="1">
      <alignment vertical="center"/>
      <protection/>
    </xf>
    <xf numFmtId="164" fontId="22" fillId="8" borderId="48" xfId="322" applyFont="1" applyFill="1" applyBorder="1" applyAlignment="1">
      <alignment horizontal="center"/>
      <protection/>
    </xf>
    <xf numFmtId="164" fontId="23" fillId="0" borderId="0" xfId="322" applyFont="1" applyAlignment="1">
      <alignment horizontal="center" vertical="center" wrapText="1"/>
      <protection/>
    </xf>
    <xf numFmtId="164" fontId="24" fillId="0" borderId="0" xfId="322" applyFont="1" applyAlignment="1">
      <alignment horizontal="center" vertical="center" wrapText="1"/>
      <protection/>
    </xf>
    <xf numFmtId="164" fontId="2" fillId="2" borderId="49" xfId="47" applyNumberFormat="1" applyFont="1" applyBorder="1" applyAlignment="1" applyProtection="1">
      <alignment horizontal="center" vertical="center" wrapText="1"/>
      <protection/>
    </xf>
    <xf numFmtId="164" fontId="2" fillId="2" borderId="50" xfId="983" applyNumberFormat="1" applyFont="1" applyFill="1" applyBorder="1" applyAlignment="1" applyProtection="1">
      <alignment horizontal="center" vertical="center" wrapText="1"/>
      <protection/>
    </xf>
    <xf numFmtId="164" fontId="2" fillId="2" borderId="50" xfId="47" applyNumberFormat="1" applyFont="1" applyBorder="1" applyAlignment="1" applyProtection="1">
      <alignment horizontal="center" vertical="center" wrapText="1" shrinkToFit="1"/>
      <protection/>
    </xf>
    <xf numFmtId="164" fontId="2" fillId="2" borderId="50" xfId="47" applyNumberFormat="1" applyFont="1" applyBorder="1" applyAlignment="1" applyProtection="1">
      <alignment horizontal="center" vertical="center" wrapText="1"/>
      <protection/>
    </xf>
    <xf numFmtId="164" fontId="2" fillId="2" borderId="51" xfId="47" applyNumberFormat="1" applyFont="1" applyBorder="1" applyAlignment="1" applyProtection="1">
      <alignment horizontal="center" vertical="center" wrapText="1"/>
      <protection/>
    </xf>
    <xf numFmtId="164" fontId="2" fillId="2" borderId="52" xfId="47" applyNumberFormat="1" applyFont="1" applyBorder="1" applyAlignment="1" applyProtection="1">
      <alignment horizontal="center" vertical="center" wrapText="1"/>
      <protection/>
    </xf>
    <xf numFmtId="164" fontId="2" fillId="2" borderId="53" xfId="47" applyNumberFormat="1" applyFont="1" applyBorder="1" applyAlignment="1" applyProtection="1">
      <alignment horizontal="center" vertical="center" wrapText="1"/>
      <protection/>
    </xf>
    <xf numFmtId="164" fontId="2" fillId="0" borderId="0" xfId="322" applyFont="1" applyBorder="1" applyAlignment="1">
      <alignment horizontal="center" vertical="center"/>
      <protection/>
    </xf>
    <xf numFmtId="164" fontId="27" fillId="0" borderId="0" xfId="322" applyFont="1" applyBorder="1" applyAlignment="1">
      <alignment horizontal="center" vertical="center"/>
      <protection/>
    </xf>
    <xf numFmtId="164" fontId="2" fillId="0" borderId="0" xfId="322" applyFont="1" applyAlignment="1">
      <alignment horizontal="center" vertical="center"/>
      <protection/>
    </xf>
    <xf numFmtId="164" fontId="2" fillId="6" borderId="0" xfId="322" applyFont="1" applyFill="1" applyAlignment="1">
      <alignment horizontal="center" vertical="center"/>
      <protection/>
    </xf>
    <xf numFmtId="164" fontId="23" fillId="0" borderId="0" xfId="322" applyFont="1" applyAlignment="1">
      <alignment horizontal="center" vertical="top"/>
      <protection/>
    </xf>
    <xf numFmtId="164" fontId="28" fillId="0" borderId="0" xfId="322" applyFont="1" applyAlignment="1">
      <alignment horizontal="center"/>
      <protection/>
    </xf>
    <xf numFmtId="164" fontId="29" fillId="0" borderId="54" xfId="322" applyFont="1" applyBorder="1" applyAlignment="1">
      <alignment horizontal="center"/>
      <protection/>
    </xf>
    <xf numFmtId="170" fontId="29" fillId="0" borderId="55" xfId="0" applyNumberFormat="1" applyFont="1" applyBorder="1" applyAlignment="1">
      <alignment horizontal="center"/>
    </xf>
    <xf numFmtId="164" fontId="30" fillId="0" borderId="55" xfId="322" applyFont="1" applyBorder="1" applyAlignment="1">
      <alignment horizontal="center"/>
      <protection/>
    </xf>
    <xf numFmtId="164" fontId="31" fillId="0" borderId="55" xfId="322" applyFont="1" applyBorder="1" applyAlignment="1">
      <alignment horizontal="center"/>
      <protection/>
    </xf>
    <xf numFmtId="164" fontId="30" fillId="0" borderId="55" xfId="0" applyFont="1" applyBorder="1" applyAlignment="1">
      <alignment horizontal="center"/>
    </xf>
    <xf numFmtId="164" fontId="32" fillId="0" borderId="55" xfId="0" applyFont="1" applyBorder="1" applyAlignment="1">
      <alignment horizontal="center"/>
    </xf>
    <xf numFmtId="164" fontId="33" fillId="0" borderId="55" xfId="895" applyFont="1" applyBorder="1" applyAlignment="1">
      <alignment horizontal="center"/>
      <protection/>
    </xf>
    <xf numFmtId="164" fontId="33" fillId="0" borderId="55" xfId="322" applyFont="1" applyBorder="1" applyAlignment="1">
      <alignment horizontal="center"/>
      <protection/>
    </xf>
    <xf numFmtId="164" fontId="30" fillId="0" borderId="55" xfId="322" applyFont="1" applyFill="1" applyBorder="1" applyAlignment="1">
      <alignment horizontal="center" wrapText="1"/>
      <protection/>
    </xf>
    <xf numFmtId="164" fontId="34" fillId="0" borderId="55" xfId="322" applyFont="1" applyBorder="1" applyAlignment="1">
      <alignment horizontal="center" vertical="center" wrapText="1"/>
      <protection/>
    </xf>
    <xf numFmtId="169" fontId="33" fillId="0" borderId="55" xfId="322" applyNumberFormat="1" applyFont="1" applyBorder="1" applyAlignment="1">
      <alignment horizontal="center" wrapText="1"/>
      <protection/>
    </xf>
    <xf numFmtId="169" fontId="35" fillId="0" borderId="55" xfId="322" applyNumberFormat="1" applyFont="1" applyBorder="1" applyAlignment="1">
      <alignment horizontal="center" wrapText="1"/>
      <protection/>
    </xf>
    <xf numFmtId="169" fontId="35" fillId="0" borderId="56" xfId="322" applyNumberFormat="1" applyFont="1" applyBorder="1" applyAlignment="1">
      <alignment horizontal="center" vertical="center" wrapText="1"/>
      <protection/>
    </xf>
    <xf numFmtId="171" fontId="36" fillId="0" borderId="57" xfId="322" applyNumberFormat="1" applyFont="1" applyBorder="1" applyAlignment="1">
      <alignment horizontal="center" vertical="top" wrapText="1"/>
      <protection/>
    </xf>
    <xf numFmtId="171" fontId="35" fillId="0" borderId="55" xfId="322" applyNumberFormat="1" applyFont="1" applyFill="1" applyBorder="1" applyAlignment="1">
      <alignment horizontal="center" vertical="top" wrapText="1"/>
      <protection/>
    </xf>
    <xf numFmtId="171" fontId="37" fillId="0" borderId="55" xfId="322" applyNumberFormat="1" applyFont="1" applyFill="1" applyBorder="1" applyAlignment="1">
      <alignment horizontal="center" vertical="top" wrapText="1"/>
      <protection/>
    </xf>
    <xf numFmtId="171" fontId="30" fillId="0" borderId="55" xfId="322" applyNumberFormat="1" applyFont="1" applyBorder="1" applyAlignment="1">
      <alignment horizontal="center" vertical="top" wrapText="1"/>
      <protection/>
    </xf>
    <xf numFmtId="171" fontId="35" fillId="0" borderId="55" xfId="322" applyNumberFormat="1" applyFont="1" applyBorder="1" applyAlignment="1">
      <alignment horizontal="center" vertical="top" wrapText="1"/>
      <protection/>
    </xf>
    <xf numFmtId="171" fontId="38" fillId="0" borderId="58" xfId="322" applyNumberFormat="1" applyFont="1" applyBorder="1" applyAlignment="1">
      <alignment horizontal="center" vertical="top" wrapText="1"/>
      <protection/>
    </xf>
    <xf numFmtId="171" fontId="22" fillId="2" borderId="59" xfId="322" applyNumberFormat="1" applyFont="1" applyFill="1" applyBorder="1" applyAlignment="1">
      <alignment vertical="center" wrapText="1"/>
      <protection/>
    </xf>
    <xf numFmtId="164" fontId="27" fillId="0" borderId="0" xfId="322" applyFont="1" applyBorder="1" applyAlignment="1">
      <alignment horizontal="center"/>
      <protection/>
    </xf>
    <xf numFmtId="164" fontId="23" fillId="0" borderId="0" xfId="322" applyFont="1">
      <alignment/>
      <protection/>
    </xf>
    <xf numFmtId="164" fontId="29" fillId="0" borderId="60" xfId="322" applyFont="1" applyBorder="1" applyAlignment="1">
      <alignment horizontal="center"/>
      <protection/>
    </xf>
    <xf numFmtId="170" fontId="29" fillId="0" borderId="61" xfId="0" applyNumberFormat="1" applyFont="1" applyBorder="1" applyAlignment="1">
      <alignment horizontal="center"/>
    </xf>
    <xf numFmtId="164" fontId="30" fillId="0" borderId="61" xfId="322" applyFont="1" applyBorder="1" applyAlignment="1">
      <alignment horizontal="center"/>
      <protection/>
    </xf>
    <xf numFmtId="164" fontId="31" fillId="0" borderId="61" xfId="322" applyFont="1" applyBorder="1" applyAlignment="1">
      <alignment horizontal="center"/>
      <protection/>
    </xf>
    <xf numFmtId="164" fontId="30" fillId="0" borderId="61" xfId="0" applyFont="1" applyBorder="1" applyAlignment="1">
      <alignment horizontal="center"/>
    </xf>
    <xf numFmtId="164" fontId="32" fillId="0" borderId="61" xfId="0" applyFont="1" applyBorder="1" applyAlignment="1">
      <alignment horizontal="center"/>
    </xf>
    <xf numFmtId="164" fontId="33" fillId="0" borderId="61" xfId="895" applyFont="1" applyBorder="1" applyAlignment="1">
      <alignment horizontal="center"/>
      <protection/>
    </xf>
    <xf numFmtId="164" fontId="33" fillId="0" borderId="61" xfId="322" applyFont="1" applyBorder="1" applyAlignment="1">
      <alignment horizontal="center"/>
      <protection/>
    </xf>
    <xf numFmtId="164" fontId="30" fillId="0" borderId="61" xfId="322" applyFont="1" applyFill="1" applyBorder="1" applyAlignment="1">
      <alignment horizontal="center" wrapText="1"/>
      <protection/>
    </xf>
    <xf numFmtId="164" fontId="34" fillId="0" borderId="61" xfId="322" applyFont="1" applyBorder="1" applyAlignment="1">
      <alignment horizontal="center" vertical="center" wrapText="1"/>
      <protection/>
    </xf>
    <xf numFmtId="169" fontId="33" fillId="0" borderId="61" xfId="322" applyNumberFormat="1" applyFont="1" applyBorder="1" applyAlignment="1">
      <alignment horizontal="center" wrapText="1"/>
      <protection/>
    </xf>
    <xf numFmtId="169" fontId="35" fillId="0" borderId="61" xfId="322" applyNumberFormat="1" applyFont="1" applyBorder="1" applyAlignment="1">
      <alignment horizontal="center" wrapText="1"/>
      <protection/>
    </xf>
    <xf numFmtId="169" fontId="35" fillId="0" borderId="62" xfId="322" applyNumberFormat="1" applyFont="1" applyBorder="1" applyAlignment="1">
      <alignment horizontal="center" vertical="center" wrapText="1"/>
      <protection/>
    </xf>
    <xf numFmtId="171" fontId="36" fillId="0" borderId="63" xfId="322" applyNumberFormat="1" applyFont="1" applyBorder="1" applyAlignment="1">
      <alignment horizontal="center" vertical="top" wrapText="1"/>
      <protection/>
    </xf>
    <xf numFmtId="171" fontId="35" fillId="0" borderId="64" xfId="322" applyNumberFormat="1" applyFont="1" applyBorder="1" applyAlignment="1">
      <alignment horizontal="center" vertical="top" wrapText="1"/>
      <protection/>
    </xf>
    <xf numFmtId="171" fontId="39" fillId="0" borderId="64" xfId="322" applyNumberFormat="1" applyFont="1" applyBorder="1" applyAlignment="1">
      <alignment horizontal="center" vertical="top" wrapText="1"/>
      <protection/>
    </xf>
    <xf numFmtId="171" fontId="30" fillId="0" borderId="64" xfId="322" applyNumberFormat="1" applyFont="1" applyBorder="1" applyAlignment="1">
      <alignment horizontal="center" vertical="top" wrapText="1"/>
      <protection/>
    </xf>
    <xf numFmtId="171" fontId="35" fillId="0" borderId="65" xfId="322" applyNumberFormat="1" applyFont="1" applyBorder="1" applyAlignment="1">
      <alignment horizontal="center" vertical="top" wrapText="1"/>
      <protection/>
    </xf>
    <xf numFmtId="171" fontId="38" fillId="0" borderId="64" xfId="322" applyNumberFormat="1" applyFont="1" applyBorder="1" applyAlignment="1">
      <alignment horizontal="center" vertical="top" wrapText="1"/>
      <protection/>
    </xf>
    <xf numFmtId="171" fontId="22" fillId="2" borderId="66" xfId="322" applyNumberFormat="1" applyFont="1" applyFill="1" applyBorder="1" applyAlignment="1">
      <alignment vertical="center" wrapText="1"/>
      <protection/>
    </xf>
    <xf numFmtId="164" fontId="29" fillId="0" borderId="67" xfId="322" applyFont="1" applyBorder="1" applyAlignment="1">
      <alignment horizontal="center"/>
      <protection/>
    </xf>
    <xf numFmtId="170" fontId="29" fillId="0" borderId="64" xfId="0" applyNumberFormat="1" applyFont="1" applyBorder="1" applyAlignment="1">
      <alignment horizontal="center"/>
    </xf>
    <xf numFmtId="164" fontId="30" fillId="0" borderId="64" xfId="322" applyFont="1" applyBorder="1" applyAlignment="1">
      <alignment horizontal="center"/>
      <protection/>
    </xf>
    <xf numFmtId="164" fontId="31" fillId="0" borderId="64" xfId="322" applyFont="1" applyBorder="1" applyAlignment="1">
      <alignment horizontal="center"/>
      <protection/>
    </xf>
    <xf numFmtId="164" fontId="30" fillId="0" borderId="64" xfId="0" applyFont="1" applyBorder="1" applyAlignment="1">
      <alignment horizontal="center"/>
    </xf>
    <xf numFmtId="164" fontId="33" fillId="0" borderId="64" xfId="0" applyFont="1" applyBorder="1" applyAlignment="1">
      <alignment horizontal="center"/>
    </xf>
    <xf numFmtId="164" fontId="33" fillId="0" borderId="64" xfId="322" applyFont="1" applyBorder="1" applyAlignment="1">
      <alignment horizontal="center"/>
      <protection/>
    </xf>
    <xf numFmtId="164" fontId="30" fillId="0" borderId="64" xfId="322" applyFont="1" applyFill="1" applyBorder="1" applyAlignment="1">
      <alignment horizontal="center" wrapText="1"/>
      <protection/>
    </xf>
    <xf numFmtId="164" fontId="40" fillId="0" borderId="64" xfId="322" applyFont="1" applyBorder="1" applyAlignment="1">
      <alignment horizontal="center" vertical="center" wrapText="1"/>
      <protection/>
    </xf>
    <xf numFmtId="169" fontId="33" fillId="0" borderId="64" xfId="322" applyNumberFormat="1" applyFont="1" applyBorder="1" applyAlignment="1">
      <alignment horizontal="center" wrapText="1"/>
      <protection/>
    </xf>
    <xf numFmtId="171" fontId="36" fillId="0" borderId="68" xfId="322" applyNumberFormat="1" applyFont="1" applyBorder="1" applyAlignment="1">
      <alignment horizontal="center" vertical="top" wrapText="1"/>
      <protection/>
    </xf>
    <xf numFmtId="171" fontId="37" fillId="0" borderId="64" xfId="322" applyNumberFormat="1" applyFont="1" applyBorder="1" applyAlignment="1">
      <alignment horizontal="center" vertical="top" wrapText="1"/>
      <protection/>
    </xf>
    <xf numFmtId="169" fontId="33" fillId="0" borderId="64" xfId="322" applyNumberFormat="1" applyFont="1" applyFill="1" applyBorder="1" applyAlignment="1">
      <alignment horizontal="center" wrapText="1"/>
      <protection/>
    </xf>
    <xf numFmtId="164" fontId="32" fillId="0" borderId="64" xfId="0" applyFont="1" applyBorder="1" applyAlignment="1">
      <alignment horizontal="center"/>
    </xf>
    <xf numFmtId="164" fontId="33" fillId="0" borderId="61" xfId="0" applyFont="1" applyBorder="1" applyAlignment="1">
      <alignment horizontal="center"/>
    </xf>
    <xf numFmtId="169" fontId="35" fillId="0" borderId="64" xfId="322" applyNumberFormat="1" applyFont="1" applyBorder="1" applyAlignment="1">
      <alignment horizontal="center" wrapText="1"/>
      <protection/>
    </xf>
    <xf numFmtId="169" fontId="35" fillId="0" borderId="66" xfId="322" applyNumberFormat="1" applyFont="1" applyBorder="1" applyAlignment="1">
      <alignment horizontal="center" vertical="center" wrapText="1"/>
      <protection/>
    </xf>
    <xf numFmtId="164" fontId="2" fillId="0" borderId="0" xfId="322" applyFont="1" applyFill="1" applyBorder="1">
      <alignment/>
      <protection/>
    </xf>
    <xf numFmtId="164" fontId="33" fillId="0" borderId="67" xfId="322" applyFont="1" applyBorder="1" applyAlignment="1">
      <alignment horizontal="center"/>
      <protection/>
    </xf>
    <xf numFmtId="170" fontId="33" fillId="0" borderId="64" xfId="0" applyNumberFormat="1" applyFont="1" applyBorder="1" applyAlignment="1">
      <alignment horizontal="center"/>
    </xf>
    <xf numFmtId="164" fontId="31" fillId="0" borderId="65" xfId="322" applyFont="1" applyBorder="1" applyAlignment="1">
      <alignment horizontal="center"/>
      <protection/>
    </xf>
    <xf numFmtId="164" fontId="2" fillId="0" borderId="64" xfId="322" applyFont="1" applyBorder="1">
      <alignment/>
      <protection/>
    </xf>
    <xf numFmtId="164" fontId="33" fillId="0" borderId="68" xfId="322" applyFont="1" applyBorder="1" applyAlignment="1">
      <alignment horizontal="center"/>
      <protection/>
    </xf>
    <xf numFmtId="164" fontId="41" fillId="0" borderId="64" xfId="322" applyFont="1" applyBorder="1" applyAlignment="1">
      <alignment horizontal="center" wrapText="1"/>
      <protection/>
    </xf>
    <xf numFmtId="164" fontId="31" fillId="0" borderId="64" xfId="322" applyFont="1" applyBorder="1" applyAlignment="1">
      <alignment horizontal="center" wrapText="1"/>
      <protection/>
    </xf>
    <xf numFmtId="172" fontId="2" fillId="0" borderId="0" xfId="322" applyNumberFormat="1" applyFont="1" applyFill="1" applyBorder="1">
      <alignment/>
      <protection/>
    </xf>
    <xf numFmtId="164" fontId="33" fillId="0" borderId="69" xfId="322" applyFont="1" applyBorder="1" applyAlignment="1">
      <alignment horizontal="center"/>
      <protection/>
    </xf>
    <xf numFmtId="164" fontId="33" fillId="0" borderId="70" xfId="322" applyFont="1" applyBorder="1" applyAlignment="1">
      <alignment horizontal="center"/>
      <protection/>
    </xf>
    <xf numFmtId="164" fontId="30" fillId="0" borderId="52" xfId="322" applyFont="1" applyBorder="1" applyAlignment="1">
      <alignment horizontal="center"/>
      <protection/>
    </xf>
    <xf numFmtId="164" fontId="31" fillId="0" borderId="71" xfId="322" applyFont="1" applyBorder="1" applyAlignment="1">
      <alignment horizontal="center"/>
      <protection/>
    </xf>
    <xf numFmtId="164" fontId="33" fillId="0" borderId="52" xfId="322" applyFont="1" applyBorder="1" applyAlignment="1">
      <alignment horizontal="center"/>
      <protection/>
    </xf>
    <xf numFmtId="164" fontId="30" fillId="0" borderId="52" xfId="322" applyFont="1" applyBorder="1" applyAlignment="1">
      <alignment horizontal="center" wrapText="1"/>
      <protection/>
    </xf>
    <xf numFmtId="164" fontId="31" fillId="0" borderId="52" xfId="322" applyFont="1" applyBorder="1" applyAlignment="1">
      <alignment horizontal="center" wrapText="1"/>
      <protection/>
    </xf>
    <xf numFmtId="169" fontId="33" fillId="0" borderId="52" xfId="322" applyNumberFormat="1" applyFont="1" applyBorder="1" applyAlignment="1">
      <alignment horizontal="center" wrapText="1"/>
      <protection/>
    </xf>
    <xf numFmtId="169" fontId="35" fillId="0" borderId="52" xfId="322" applyNumberFormat="1" applyFont="1" applyBorder="1" applyAlignment="1">
      <alignment horizontal="center" wrapText="1"/>
      <protection/>
    </xf>
    <xf numFmtId="169" fontId="35" fillId="0" borderId="72" xfId="322" applyNumberFormat="1" applyFont="1" applyBorder="1" applyAlignment="1">
      <alignment horizontal="center" vertical="center" wrapText="1"/>
      <protection/>
    </xf>
    <xf numFmtId="171" fontId="36" fillId="0" borderId="70" xfId="322" applyNumberFormat="1" applyFont="1" applyBorder="1" applyAlignment="1">
      <alignment horizontal="center" vertical="top" wrapText="1"/>
      <protection/>
    </xf>
    <xf numFmtId="171" fontId="35" fillId="0" borderId="52" xfId="322" applyNumberFormat="1" applyFont="1" applyBorder="1" applyAlignment="1">
      <alignment horizontal="center" vertical="top" wrapText="1"/>
      <protection/>
    </xf>
    <xf numFmtId="171" fontId="37" fillId="0" borderId="52" xfId="322" applyNumberFormat="1" applyFont="1" applyBorder="1" applyAlignment="1">
      <alignment horizontal="center" vertical="top" wrapText="1"/>
      <protection/>
    </xf>
    <xf numFmtId="171" fontId="30" fillId="0" borderId="52" xfId="322" applyNumberFormat="1" applyFont="1" applyBorder="1" applyAlignment="1">
      <alignment horizontal="center" vertical="top" wrapText="1"/>
      <protection/>
    </xf>
    <xf numFmtId="171" fontId="35" fillId="0" borderId="71" xfId="322" applyNumberFormat="1" applyFont="1" applyBorder="1" applyAlignment="1">
      <alignment horizontal="center" vertical="top" wrapText="1"/>
      <protection/>
    </xf>
    <xf numFmtId="171" fontId="38" fillId="0" borderId="52" xfId="322" applyNumberFormat="1" applyFont="1" applyBorder="1" applyAlignment="1">
      <alignment horizontal="center" vertical="top" wrapText="1"/>
      <protection/>
    </xf>
    <xf numFmtId="171" fontId="22" fillId="2" borderId="72" xfId="322" applyNumberFormat="1" applyFont="1" applyFill="1" applyBorder="1" applyAlignment="1">
      <alignment vertical="center" wrapText="1"/>
      <protection/>
    </xf>
    <xf numFmtId="164" fontId="42" fillId="0" borderId="0" xfId="322" applyFont="1" applyAlignment="1">
      <alignment horizontal="right"/>
      <protection/>
    </xf>
    <xf numFmtId="164" fontId="2" fillId="2" borderId="73" xfId="322" applyFont="1" applyFill="1" applyBorder="1">
      <alignment/>
      <protection/>
    </xf>
    <xf numFmtId="164" fontId="22" fillId="2" borderId="74" xfId="47" applyNumberFormat="1" applyFont="1" applyFill="1" applyBorder="1" applyAlignment="1" applyProtection="1">
      <alignment vertical="top"/>
      <protection/>
    </xf>
    <xf numFmtId="169" fontId="22" fillId="2" borderId="74" xfId="47" applyNumberFormat="1" applyFont="1" applyFill="1" applyBorder="1" applyAlignment="1" applyProtection="1">
      <alignment vertical="top"/>
      <protection/>
    </xf>
    <xf numFmtId="167" fontId="22" fillId="2" borderId="74" xfId="945" applyFont="1" applyFill="1" applyBorder="1" applyAlignment="1" applyProtection="1">
      <alignment vertical="top" wrapText="1"/>
      <protection/>
    </xf>
    <xf numFmtId="167" fontId="31" fillId="2" borderId="74" xfId="945" applyFont="1" applyFill="1" applyBorder="1" applyAlignment="1" applyProtection="1">
      <alignment vertical="top" wrapText="1"/>
      <protection/>
    </xf>
    <xf numFmtId="167" fontId="22" fillId="2" borderId="75" xfId="945" applyFont="1" applyFill="1" applyBorder="1" applyAlignment="1" applyProtection="1">
      <alignment vertical="top" wrapText="1"/>
      <protection/>
    </xf>
    <xf numFmtId="164" fontId="2" fillId="2" borderId="76" xfId="322" applyFont="1" applyFill="1" applyBorder="1">
      <alignment/>
      <protection/>
    </xf>
    <xf numFmtId="164" fontId="22" fillId="2" borderId="77" xfId="47" applyNumberFormat="1" applyFont="1" applyFill="1" applyBorder="1" applyAlignment="1" applyProtection="1">
      <alignment vertical="top"/>
      <protection/>
    </xf>
    <xf numFmtId="164" fontId="2" fillId="2" borderId="77" xfId="322" applyFont="1" applyFill="1" applyBorder="1">
      <alignment/>
      <protection/>
    </xf>
    <xf numFmtId="164" fontId="22" fillId="0" borderId="71" xfId="47" applyNumberFormat="1" applyFont="1" applyFill="1" applyBorder="1" applyAlignment="1" applyProtection="1">
      <alignment vertical="center"/>
      <protection/>
    </xf>
    <xf numFmtId="164" fontId="22" fillId="0" borderId="78" xfId="47" applyNumberFormat="1" applyFont="1" applyFill="1" applyBorder="1" applyAlignment="1" applyProtection="1">
      <alignment vertical="center"/>
      <protection/>
    </xf>
    <xf numFmtId="164" fontId="2" fillId="0" borderId="78" xfId="322" applyFont="1" applyFill="1" applyBorder="1" applyAlignment="1">
      <alignment vertical="center"/>
      <protection/>
    </xf>
    <xf numFmtId="172" fontId="43" fillId="0" borderId="70" xfId="19" applyNumberFormat="1" applyFont="1" applyFill="1" applyBorder="1" applyAlignment="1" applyProtection="1">
      <alignment horizontal="center" vertical="center"/>
      <protection/>
    </xf>
    <xf numFmtId="169" fontId="22" fillId="0" borderId="78" xfId="47" applyNumberFormat="1" applyFont="1" applyFill="1" applyBorder="1" applyAlignment="1" applyProtection="1">
      <alignment vertical="center"/>
      <protection/>
    </xf>
    <xf numFmtId="164" fontId="2" fillId="0" borderId="78" xfId="322" applyFont="1" applyFill="1" applyBorder="1" applyAlignment="1">
      <alignment vertical="center" wrapText="1"/>
      <protection/>
    </xf>
    <xf numFmtId="167" fontId="22" fillId="2" borderId="77" xfId="945" applyFont="1" applyFill="1" applyBorder="1" applyAlignment="1" applyProtection="1">
      <alignment vertical="top" wrapText="1"/>
      <protection/>
    </xf>
    <xf numFmtId="167" fontId="22" fillId="0" borderId="78" xfId="945" applyFont="1" applyFill="1" applyBorder="1" applyAlignment="1" applyProtection="1">
      <alignment vertical="center" wrapText="1"/>
      <protection/>
    </xf>
    <xf numFmtId="167" fontId="22" fillId="2" borderId="79" xfId="945" applyFont="1" applyFill="1" applyBorder="1" applyAlignment="1" applyProtection="1">
      <alignment vertical="top" wrapText="1"/>
      <protection/>
    </xf>
    <xf numFmtId="164" fontId="36" fillId="0" borderId="0" xfId="322" applyFont="1">
      <alignment/>
      <protection/>
    </xf>
    <xf numFmtId="164" fontId="44" fillId="0" borderId="0" xfId="47" applyNumberFormat="1" applyFont="1" applyFill="1" applyBorder="1" applyAlignment="1" applyProtection="1">
      <alignment vertical="top"/>
      <protection/>
    </xf>
    <xf numFmtId="169" fontId="2" fillId="0" borderId="0" xfId="322" applyNumberFormat="1" applyFont="1" applyAlignment="1">
      <alignment horizontal="center" wrapText="1"/>
      <protection/>
    </xf>
    <xf numFmtId="164" fontId="22" fillId="8" borderId="80" xfId="322" applyFont="1" applyFill="1" applyBorder="1" applyAlignment="1">
      <alignment horizontal="center"/>
      <protection/>
    </xf>
    <xf numFmtId="164" fontId="27" fillId="0" borderId="0" xfId="322" applyFont="1" applyFill="1" applyBorder="1">
      <alignment/>
      <protection/>
    </xf>
    <xf numFmtId="164" fontId="27" fillId="6" borderId="64" xfId="322" applyFont="1" applyFill="1" applyBorder="1" applyAlignment="1">
      <alignment horizontal="center"/>
      <protection/>
    </xf>
    <xf numFmtId="164" fontId="27" fillId="0" borderId="0" xfId="322" applyFont="1" applyFill="1" applyBorder="1" applyAlignment="1">
      <alignment horizontal="center"/>
      <protection/>
    </xf>
    <xf numFmtId="164" fontId="27" fillId="0" borderId="0" xfId="0" applyFont="1" applyFill="1" applyBorder="1" applyAlignment="1">
      <alignment horizontal="center"/>
    </xf>
    <xf numFmtId="164" fontId="22" fillId="6" borderId="0" xfId="322" applyFont="1" applyFill="1" applyBorder="1" applyAlignment="1">
      <alignment horizontal="center"/>
      <protection/>
    </xf>
    <xf numFmtId="164" fontId="2" fillId="2" borderId="81" xfId="47" applyNumberFormat="1" applyFont="1" applyBorder="1" applyAlignment="1" applyProtection="1">
      <alignment horizontal="center" vertical="center" wrapText="1"/>
      <protection/>
    </xf>
    <xf numFmtId="164" fontId="2" fillId="2" borderId="82" xfId="74" applyNumberFormat="1" applyFont="1" applyFill="1" applyBorder="1" applyAlignment="1" applyProtection="1">
      <alignment horizontal="center" vertical="center" wrapText="1"/>
      <protection/>
    </xf>
    <xf numFmtId="164" fontId="2" fillId="2" borderId="82" xfId="47" applyNumberFormat="1" applyFont="1" applyBorder="1" applyAlignment="1" applyProtection="1">
      <alignment horizontal="center" vertical="center" wrapText="1"/>
      <protection/>
    </xf>
    <xf numFmtId="164" fontId="2" fillId="2" borderId="83" xfId="47" applyNumberFormat="1" applyFont="1" applyBorder="1" applyAlignment="1" applyProtection="1">
      <alignment horizontal="center" vertical="center" wrapText="1"/>
      <protection/>
    </xf>
    <xf numFmtId="164" fontId="45" fillId="2" borderId="84" xfId="47" applyNumberFormat="1" applyFont="1" applyBorder="1" applyAlignment="1" applyProtection="1">
      <alignment horizontal="center" vertical="center" wrapText="1"/>
      <protection/>
    </xf>
    <xf numFmtId="164" fontId="36" fillId="2" borderId="83" xfId="47" applyNumberFormat="1" applyFont="1" applyBorder="1" applyAlignment="1" applyProtection="1">
      <alignment horizontal="center" vertical="center" wrapText="1"/>
      <protection/>
    </xf>
    <xf numFmtId="164" fontId="36" fillId="2" borderId="85" xfId="47" applyNumberFormat="1" applyFont="1" applyBorder="1" applyAlignment="1" applyProtection="1">
      <alignment horizontal="center" vertical="center" wrapText="1"/>
      <protection/>
    </xf>
    <xf numFmtId="164" fontId="36" fillId="2" borderId="82" xfId="47" applyNumberFormat="1" applyFont="1" applyBorder="1" applyAlignment="1" applyProtection="1">
      <alignment horizontal="center" vertical="center" wrapText="1"/>
      <protection/>
    </xf>
    <xf numFmtId="164" fontId="2" fillId="2" borderId="85" xfId="47" applyNumberFormat="1" applyFont="1" applyBorder="1" applyAlignment="1" applyProtection="1">
      <alignment horizontal="center" vertical="center" wrapText="1"/>
      <protection/>
    </xf>
    <xf numFmtId="164" fontId="26" fillId="2" borderId="75" xfId="47" applyNumberFormat="1" applyFont="1" applyBorder="1" applyAlignment="1" applyProtection="1">
      <alignment horizontal="center" vertical="center" wrapText="1"/>
      <protection/>
    </xf>
    <xf numFmtId="164" fontId="36" fillId="2" borderId="86" xfId="47" applyNumberFormat="1" applyFont="1" applyBorder="1" applyAlignment="1" applyProtection="1">
      <alignment horizontal="center" vertical="center" wrapText="1"/>
      <protection/>
    </xf>
    <xf numFmtId="164" fontId="36" fillId="2" borderId="87" xfId="47" applyNumberFormat="1" applyFont="1" applyBorder="1" applyAlignment="1" applyProtection="1">
      <alignment horizontal="center" vertical="center" wrapText="1"/>
      <protection/>
    </xf>
    <xf numFmtId="164" fontId="36" fillId="2" borderId="88" xfId="47" applyNumberFormat="1" applyFont="1" applyBorder="1" applyAlignment="1" applyProtection="1">
      <alignment horizontal="center" vertical="center" wrapText="1"/>
      <protection/>
    </xf>
    <xf numFmtId="164" fontId="44" fillId="2" borderId="89" xfId="47" applyNumberFormat="1" applyFont="1" applyBorder="1" applyAlignment="1" applyProtection="1">
      <alignment horizontal="center" vertical="center" wrapText="1"/>
      <protection/>
    </xf>
    <xf numFmtId="164" fontId="27" fillId="0" borderId="0" xfId="322" applyFont="1" applyFill="1" applyBorder="1" applyAlignment="1">
      <alignment horizontal="center" vertical="center"/>
      <protection/>
    </xf>
    <xf numFmtId="164" fontId="27" fillId="0" borderId="0" xfId="0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horizontal="center" vertical="center"/>
    </xf>
    <xf numFmtId="164" fontId="27" fillId="0" borderId="0" xfId="322" applyFont="1">
      <alignment/>
      <protection/>
    </xf>
    <xf numFmtId="164" fontId="37" fillId="0" borderId="90" xfId="322" applyFont="1" applyBorder="1" applyAlignment="1">
      <alignment horizontal="center"/>
      <protection/>
    </xf>
    <xf numFmtId="164" fontId="37" fillId="0" borderId="91" xfId="322" applyFont="1" applyBorder="1" applyAlignment="1">
      <alignment horizontal="center"/>
      <protection/>
    </xf>
    <xf numFmtId="164" fontId="46" fillId="0" borderId="92" xfId="322" applyFont="1" applyBorder="1" applyAlignment="1">
      <alignment horizontal="center" wrapText="1"/>
      <protection/>
    </xf>
    <xf numFmtId="169" fontId="35" fillId="0" borderId="93" xfId="322" applyNumberFormat="1" applyFont="1" applyBorder="1" applyAlignment="1">
      <alignment horizontal="center" wrapText="1"/>
      <protection/>
    </xf>
    <xf numFmtId="171" fontId="45" fillId="0" borderId="94" xfId="322" applyNumberFormat="1" applyFont="1" applyBorder="1" applyAlignment="1">
      <alignment horizontal="center"/>
      <protection/>
    </xf>
    <xf numFmtId="171" fontId="36" fillId="0" borderId="93" xfId="322" applyNumberFormat="1" applyFont="1" applyBorder="1" applyAlignment="1">
      <alignment horizontal="center" vertical="center" wrapText="1"/>
      <protection/>
    </xf>
    <xf numFmtId="171" fontId="36" fillId="0" borderId="90" xfId="322" applyNumberFormat="1" applyFont="1" applyBorder="1" applyAlignment="1">
      <alignment horizontal="center" vertical="center" wrapText="1"/>
      <protection/>
    </xf>
    <xf numFmtId="171" fontId="36" fillId="0" borderId="92" xfId="322" applyNumberFormat="1" applyFont="1" applyBorder="1" applyAlignment="1">
      <alignment vertical="center" wrapText="1"/>
      <protection/>
    </xf>
    <xf numFmtId="171" fontId="36" fillId="0" borderId="93" xfId="322" applyNumberFormat="1" applyFont="1" applyBorder="1" applyAlignment="1">
      <alignment vertical="center" wrapText="1"/>
      <protection/>
    </xf>
    <xf numFmtId="171" fontId="36" fillId="0" borderId="90" xfId="322" applyNumberFormat="1" applyFont="1" applyBorder="1" applyAlignment="1">
      <alignment vertical="center" wrapText="1"/>
      <protection/>
    </xf>
    <xf numFmtId="171" fontId="36" fillId="0" borderId="95" xfId="322" applyNumberFormat="1" applyFont="1" applyBorder="1" applyAlignment="1">
      <alignment vertical="center" wrapText="1"/>
      <protection/>
    </xf>
    <xf numFmtId="167" fontId="45" fillId="0" borderId="91" xfId="945" applyFont="1" applyFill="1" applyBorder="1" applyAlignment="1" applyProtection="1">
      <alignment horizontal="center" wrapText="1"/>
      <protection/>
    </xf>
    <xf numFmtId="167" fontId="45" fillId="0" borderId="92" xfId="945" applyFont="1" applyFill="1" applyBorder="1" applyAlignment="1" applyProtection="1">
      <alignment horizontal="center" wrapText="1"/>
      <protection/>
    </xf>
    <xf numFmtId="167" fontId="45" fillId="0" borderId="96" xfId="945" applyFont="1" applyFill="1" applyBorder="1" applyAlignment="1" applyProtection="1">
      <alignment horizontal="center" wrapText="1"/>
      <protection/>
    </xf>
    <xf numFmtId="171" fontId="36" fillId="0" borderId="96" xfId="322" applyNumberFormat="1" applyFont="1" applyBorder="1" applyAlignment="1">
      <alignment vertical="center" wrapText="1"/>
      <protection/>
    </xf>
    <xf numFmtId="171" fontId="44" fillId="0" borderId="93" xfId="322" applyNumberFormat="1" applyFont="1" applyBorder="1" applyAlignment="1">
      <alignment vertical="center" wrapText="1"/>
      <protection/>
    </xf>
    <xf numFmtId="171" fontId="44" fillId="0" borderId="58" xfId="322" applyNumberFormat="1" applyFont="1" applyFill="1" applyBorder="1" applyAlignment="1">
      <alignment horizontal="center" vertical="center" wrapText="1"/>
      <protection/>
    </xf>
    <xf numFmtId="171" fontId="44" fillId="2" borderId="97" xfId="322" applyNumberFormat="1" applyFont="1" applyFill="1" applyBorder="1" applyAlignment="1">
      <alignment horizontal="center" vertical="center" wrapText="1"/>
      <protection/>
    </xf>
    <xf numFmtId="165" fontId="2" fillId="0" borderId="64" xfId="322" applyNumberFormat="1" applyFont="1" applyFill="1" applyBorder="1" applyAlignment="1">
      <alignment horizontal="center"/>
      <protection/>
    </xf>
    <xf numFmtId="164" fontId="2" fillId="0" borderId="64" xfId="0" applyFont="1" applyFill="1" applyBorder="1" applyAlignment="1">
      <alignment horizontal="center"/>
    </xf>
    <xf numFmtId="169" fontId="2" fillId="0" borderId="64" xfId="0" applyNumberFormat="1" applyFont="1" applyFill="1" applyBorder="1" applyAlignment="1">
      <alignment horizontal="center"/>
    </xf>
    <xf numFmtId="167" fontId="23" fillId="0" borderId="64" xfId="972" applyFont="1" applyFill="1" applyBorder="1" applyAlignment="1" applyProtection="1">
      <alignment horizontal="center"/>
      <protection/>
    </xf>
    <xf numFmtId="169" fontId="2" fillId="0" borderId="0" xfId="322" applyNumberFormat="1" applyFont="1">
      <alignment/>
      <protection/>
    </xf>
    <xf numFmtId="164" fontId="37" fillId="0" borderId="98" xfId="322" applyFont="1" applyBorder="1" applyAlignment="1">
      <alignment horizontal="center"/>
      <protection/>
    </xf>
    <xf numFmtId="164" fontId="37" fillId="0" borderId="99" xfId="322" applyFont="1" applyBorder="1" applyAlignment="1">
      <alignment horizontal="center"/>
      <protection/>
    </xf>
    <xf numFmtId="164" fontId="46" fillId="0" borderId="100" xfId="322" applyFont="1" applyBorder="1" applyAlignment="1">
      <alignment horizontal="center" wrapText="1"/>
      <protection/>
    </xf>
    <xf numFmtId="164" fontId="35" fillId="0" borderId="101" xfId="322" applyFont="1" applyBorder="1" applyAlignment="1">
      <alignment horizontal="center" wrapText="1"/>
      <protection/>
    </xf>
    <xf numFmtId="171" fontId="45" fillId="0" borderId="100" xfId="322" applyNumberFormat="1" applyFont="1" applyBorder="1" applyAlignment="1">
      <alignment horizontal="center"/>
      <protection/>
    </xf>
    <xf numFmtId="171" fontId="36" fillId="0" borderId="101" xfId="322" applyNumberFormat="1" applyFont="1" applyBorder="1" applyAlignment="1">
      <alignment horizontal="center" vertical="center" wrapText="1"/>
      <protection/>
    </xf>
    <xf numFmtId="171" fontId="36" fillId="0" borderId="98" xfId="322" applyNumberFormat="1" applyFont="1" applyBorder="1" applyAlignment="1">
      <alignment horizontal="center" vertical="center" wrapText="1"/>
      <protection/>
    </xf>
    <xf numFmtId="171" fontId="36" fillId="0" borderId="100" xfId="322" applyNumberFormat="1" applyFont="1" applyBorder="1" applyAlignment="1">
      <alignment vertical="center" wrapText="1"/>
      <protection/>
    </xf>
    <xf numFmtId="171" fontId="36" fillId="0" borderId="101" xfId="322" applyNumberFormat="1" applyFont="1" applyBorder="1" applyAlignment="1">
      <alignment vertical="center" wrapText="1"/>
      <protection/>
    </xf>
    <xf numFmtId="171" fontId="36" fillId="0" borderId="98" xfId="322" applyNumberFormat="1" applyFont="1" applyBorder="1" applyAlignment="1">
      <alignment vertical="center" wrapText="1"/>
      <protection/>
    </xf>
    <xf numFmtId="171" fontId="36" fillId="0" borderId="102" xfId="322" applyNumberFormat="1" applyFont="1" applyBorder="1" applyAlignment="1">
      <alignment vertical="center" wrapText="1"/>
      <protection/>
    </xf>
    <xf numFmtId="167" fontId="45" fillId="0" borderId="99" xfId="945" applyFont="1" applyFill="1" applyBorder="1" applyAlignment="1" applyProtection="1">
      <alignment horizontal="center" wrapText="1"/>
      <protection/>
    </xf>
    <xf numFmtId="167" fontId="45" fillId="0" borderId="100" xfId="945" applyFont="1" applyFill="1" applyBorder="1" applyAlignment="1" applyProtection="1">
      <alignment horizontal="center" wrapText="1"/>
      <protection/>
    </xf>
    <xf numFmtId="167" fontId="45" fillId="0" borderId="103" xfId="945" applyFont="1" applyFill="1" applyBorder="1" applyAlignment="1" applyProtection="1">
      <alignment horizontal="center" wrapText="1"/>
      <protection/>
    </xf>
    <xf numFmtId="171" fontId="36" fillId="0" borderId="103" xfId="322" applyNumberFormat="1" applyFont="1" applyBorder="1" applyAlignment="1">
      <alignment vertical="center" wrapText="1"/>
      <protection/>
    </xf>
    <xf numFmtId="171" fontId="44" fillId="0" borderId="101" xfId="322" applyNumberFormat="1" applyFont="1" applyBorder="1" applyAlignment="1">
      <alignment vertical="center" wrapText="1"/>
      <protection/>
    </xf>
    <xf numFmtId="171" fontId="44" fillId="0" borderId="83" xfId="322" applyNumberFormat="1" applyFont="1" applyFill="1" applyBorder="1" applyAlignment="1">
      <alignment horizontal="center" vertical="center" wrapText="1"/>
      <protection/>
    </xf>
    <xf numFmtId="171" fontId="2" fillId="0" borderId="0" xfId="322" applyNumberFormat="1" applyFont="1">
      <alignment/>
      <protection/>
    </xf>
    <xf numFmtId="167" fontId="2" fillId="0" borderId="0" xfId="322" applyNumberFormat="1" applyFont="1">
      <alignment/>
      <protection/>
    </xf>
    <xf numFmtId="164" fontId="37" fillId="0" borderId="104" xfId="322" applyFont="1" applyBorder="1" applyAlignment="1">
      <alignment horizontal="center"/>
      <protection/>
    </xf>
    <xf numFmtId="164" fontId="37" fillId="0" borderId="105" xfId="322" applyFont="1" applyBorder="1" applyAlignment="1">
      <alignment horizontal="center"/>
      <protection/>
    </xf>
    <xf numFmtId="164" fontId="46" fillId="0" borderId="106" xfId="322" applyFont="1" applyBorder="1" applyAlignment="1">
      <alignment horizontal="center" wrapText="1"/>
      <protection/>
    </xf>
    <xf numFmtId="164" fontId="35" fillId="0" borderId="107" xfId="322" applyFont="1" applyBorder="1" applyAlignment="1">
      <alignment horizontal="center" wrapText="1"/>
      <protection/>
    </xf>
    <xf numFmtId="171" fontId="45" fillId="0" borderId="106" xfId="322" applyNumberFormat="1" applyFont="1" applyBorder="1" applyAlignment="1">
      <alignment horizontal="center"/>
      <protection/>
    </xf>
    <xf numFmtId="171" fontId="36" fillId="0" borderId="107" xfId="322" applyNumberFormat="1" applyFont="1" applyBorder="1" applyAlignment="1">
      <alignment horizontal="center" vertical="center" wrapText="1"/>
      <protection/>
    </xf>
    <xf numFmtId="171" fontId="36" fillId="0" borderId="104" xfId="322" applyNumberFormat="1" applyFont="1" applyBorder="1" applyAlignment="1">
      <alignment horizontal="center" vertical="center" wrapText="1"/>
      <protection/>
    </xf>
    <xf numFmtId="171" fontId="36" fillId="0" borderId="106" xfId="322" applyNumberFormat="1" applyFont="1" applyBorder="1" applyAlignment="1">
      <alignment vertical="center" wrapText="1"/>
      <protection/>
    </xf>
    <xf numFmtId="171" fontId="36" fillId="0" borderId="107" xfId="322" applyNumberFormat="1" applyFont="1" applyBorder="1" applyAlignment="1">
      <alignment vertical="center" wrapText="1"/>
      <protection/>
    </xf>
    <xf numFmtId="171" fontId="36" fillId="0" borderId="104" xfId="322" applyNumberFormat="1" applyFont="1" applyBorder="1" applyAlignment="1">
      <alignment vertical="center" wrapText="1"/>
      <protection/>
    </xf>
    <xf numFmtId="171" fontId="36" fillId="0" borderId="108" xfId="322" applyNumberFormat="1" applyFont="1" applyBorder="1" applyAlignment="1">
      <alignment vertical="center" wrapText="1"/>
      <protection/>
    </xf>
    <xf numFmtId="171" fontId="36" fillId="0" borderId="109" xfId="322" applyNumberFormat="1" applyFont="1" applyBorder="1" applyAlignment="1">
      <alignment vertical="center" wrapText="1"/>
      <protection/>
    </xf>
    <xf numFmtId="171" fontId="44" fillId="0" borderId="107" xfId="322" applyNumberFormat="1" applyFont="1" applyBorder="1" applyAlignment="1">
      <alignment vertical="center" wrapText="1"/>
      <protection/>
    </xf>
    <xf numFmtId="171" fontId="44" fillId="0" borderId="110" xfId="322" applyNumberFormat="1" applyFont="1" applyFill="1" applyBorder="1" applyAlignment="1">
      <alignment horizontal="center" vertical="center" wrapText="1"/>
      <protection/>
    </xf>
    <xf numFmtId="165" fontId="2" fillId="0" borderId="52" xfId="322" applyNumberFormat="1" applyFont="1" applyFill="1" applyBorder="1" applyAlignment="1">
      <alignment horizontal="center"/>
      <protection/>
    </xf>
    <xf numFmtId="164" fontId="22" fillId="2" borderId="45" xfId="47" applyNumberFormat="1" applyFont="1" applyBorder="1" applyAlignment="1" applyProtection="1">
      <alignment horizontal="center" vertical="top"/>
      <protection/>
    </xf>
    <xf numFmtId="167" fontId="47" fillId="2" borderId="80" xfId="972" applyFont="1" applyFill="1" applyBorder="1" applyAlignment="1" applyProtection="1">
      <alignment horizontal="center" vertical="top"/>
      <protection/>
    </xf>
    <xf numFmtId="167" fontId="44" fillId="2" borderId="80" xfId="945" applyFont="1" applyFill="1" applyBorder="1" applyAlignment="1" applyProtection="1">
      <alignment horizontal="center" vertical="top" wrapText="1"/>
      <protection/>
    </xf>
    <xf numFmtId="167" fontId="44" fillId="2" borderId="111" xfId="945" applyFont="1" applyFill="1" applyBorder="1" applyAlignment="1" applyProtection="1">
      <alignment horizontal="center" vertical="top" wrapText="1"/>
      <protection/>
    </xf>
    <xf numFmtId="167" fontId="44" fillId="2" borderId="110" xfId="945" applyFont="1" applyFill="1" applyBorder="1" applyAlignment="1" applyProtection="1">
      <alignment horizontal="center" vertical="top" wrapText="1"/>
      <protection/>
    </xf>
    <xf numFmtId="167" fontId="44" fillId="2" borderId="112" xfId="945" applyFont="1" applyFill="1" applyBorder="1" applyAlignment="1" applyProtection="1">
      <alignment horizontal="center" vertical="top" wrapText="1"/>
      <protection/>
    </xf>
    <xf numFmtId="164" fontId="44" fillId="6" borderId="80" xfId="47" applyNumberFormat="1" applyFont="1" applyFill="1" applyBorder="1" applyAlignment="1" applyProtection="1">
      <alignment vertical="top"/>
      <protection/>
    </xf>
    <xf numFmtId="164" fontId="44" fillId="6" borderId="80" xfId="47" applyNumberFormat="1" applyFont="1" applyFill="1" applyBorder="1" applyAlignment="1" applyProtection="1">
      <alignment horizontal="right" vertical="top"/>
      <protection/>
    </xf>
    <xf numFmtId="165" fontId="44" fillId="6" borderId="97" xfId="322" applyNumberFormat="1" applyFont="1" applyFill="1" applyBorder="1" applyAlignment="1">
      <alignment horizontal="center" vertical="center"/>
      <protection/>
    </xf>
    <xf numFmtId="164" fontId="27" fillId="6" borderId="97" xfId="0" applyFont="1" applyFill="1" applyBorder="1" applyAlignment="1">
      <alignment horizontal="center" vertical="center"/>
    </xf>
    <xf numFmtId="167" fontId="48" fillId="6" borderId="97" xfId="972" applyFont="1" applyFill="1" applyBorder="1" applyAlignment="1" applyProtection="1">
      <alignment horizontal="center" vertical="center"/>
      <protection/>
    </xf>
    <xf numFmtId="164" fontId="2" fillId="6" borderId="45" xfId="322" applyFont="1" applyFill="1" applyBorder="1">
      <alignment/>
      <protection/>
    </xf>
    <xf numFmtId="164" fontId="27" fillId="6" borderId="47" xfId="322" applyFont="1" applyFill="1" applyBorder="1">
      <alignment/>
      <protection/>
    </xf>
    <xf numFmtId="165" fontId="27" fillId="6" borderId="47" xfId="322" applyNumberFormat="1" applyFont="1" applyFill="1" applyBorder="1" applyAlignment="1">
      <alignment horizontal="center" vertical="center"/>
      <protection/>
    </xf>
    <xf numFmtId="165" fontId="27" fillId="6" borderId="80" xfId="322" applyNumberFormat="1" applyFont="1" applyFill="1" applyBorder="1" applyAlignment="1">
      <alignment horizontal="center" vertical="center"/>
      <protection/>
    </xf>
    <xf numFmtId="164" fontId="27" fillId="6" borderId="47" xfId="0" applyFont="1" applyFill="1" applyBorder="1" applyAlignment="1">
      <alignment horizontal="center" vertical="center"/>
    </xf>
    <xf numFmtId="164" fontId="2" fillId="0" borderId="0" xfId="322" applyFont="1" applyFill="1" applyBorder="1" applyAlignment="1">
      <alignment horizontal="right"/>
      <protection/>
    </xf>
    <xf numFmtId="164" fontId="27" fillId="6" borderId="80" xfId="322" applyFont="1" applyFill="1" applyBorder="1" applyAlignment="1">
      <alignment horizontal="center" vertical="center"/>
      <protection/>
    </xf>
    <xf numFmtId="164" fontId="49" fillId="2" borderId="50" xfId="47" applyNumberFormat="1" applyFont="1" applyBorder="1" applyAlignment="1" applyProtection="1">
      <alignment horizontal="center" vertical="center" wrapText="1"/>
      <protection/>
    </xf>
    <xf numFmtId="167" fontId="45" fillId="0" borderId="105" xfId="945" applyFont="1" applyFill="1" applyBorder="1" applyAlignment="1" applyProtection="1">
      <alignment horizontal="center" wrapText="1"/>
      <protection/>
    </xf>
    <xf numFmtId="167" fontId="45" fillId="0" borderId="106" xfId="945" applyFont="1" applyFill="1" applyBorder="1" applyAlignment="1" applyProtection="1">
      <alignment horizontal="center" wrapText="1"/>
      <protection/>
    </xf>
    <xf numFmtId="167" fontId="45" fillId="0" borderId="109" xfId="945" applyFont="1" applyFill="1" applyBorder="1" applyAlignment="1" applyProtection="1">
      <alignment horizontal="center" wrapText="1"/>
      <protection/>
    </xf>
    <xf numFmtId="173" fontId="2" fillId="0" borderId="0" xfId="322" applyNumberFormat="1" applyFont="1">
      <alignment/>
      <protection/>
    </xf>
    <xf numFmtId="174" fontId="2" fillId="0" borderId="0" xfId="322" applyNumberFormat="1" applyFont="1">
      <alignment/>
      <protection/>
    </xf>
    <xf numFmtId="173" fontId="2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/>
    </xf>
    <xf numFmtId="167" fontId="23" fillId="0" borderId="64" xfId="17" applyFont="1" applyFill="1" applyBorder="1" applyAlignment="1" applyProtection="1">
      <alignment horizontal="center"/>
      <protection/>
    </xf>
    <xf numFmtId="173" fontId="23" fillId="0" borderId="64" xfId="17" applyNumberFormat="1" applyFont="1" applyFill="1" applyBorder="1" applyAlignment="1" applyProtection="1">
      <alignment horizontal="center"/>
      <protection/>
    </xf>
    <xf numFmtId="169" fontId="2" fillId="9" borderId="64" xfId="0" applyNumberFormat="1" applyFont="1" applyFill="1" applyBorder="1" applyAlignment="1">
      <alignment horizontal="center"/>
    </xf>
    <xf numFmtId="164" fontId="0" fillId="6" borderId="0" xfId="0" applyFill="1" applyAlignment="1">
      <alignment/>
    </xf>
    <xf numFmtId="173" fontId="27" fillId="6" borderId="97" xfId="0" applyNumberFormat="1" applyFont="1" applyFill="1" applyBorder="1" applyAlignment="1">
      <alignment horizontal="center" vertical="center"/>
    </xf>
    <xf numFmtId="173" fontId="36" fillId="0" borderId="0" xfId="322" applyNumberFormat="1" applyFont="1">
      <alignment/>
      <protection/>
    </xf>
    <xf numFmtId="164" fontId="27" fillId="6" borderId="47" xfId="0" applyNumberFormat="1" applyFont="1" applyFill="1" applyBorder="1" applyAlignment="1">
      <alignment horizontal="center" vertical="center"/>
    </xf>
  </cellXfs>
  <cellStyles count="97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 10" xfId="20"/>
    <cellStyle name="20% - Colore 1 10 2" xfId="21"/>
    <cellStyle name="20% - Colore 1 10 2 2" xfId="22"/>
    <cellStyle name="20% - Colore 1 10 2 3" xfId="23"/>
    <cellStyle name="20% - Colore 1 10 2 4" xfId="24"/>
    <cellStyle name="20% - Colore 1 10 2 5" xfId="25"/>
    <cellStyle name="20% - Colore 1 10 2 6" xfId="26"/>
    <cellStyle name="20% - Colore 1 10 3" xfId="27"/>
    <cellStyle name="20% - Colore 1 10 3 2" xfId="28"/>
    <cellStyle name="20% - Colore 1 10 3 3" xfId="29"/>
    <cellStyle name="20% - Colore 1 10 3 4" xfId="30"/>
    <cellStyle name="20% - Colore 1 10 3 5" xfId="31"/>
    <cellStyle name="20% - Colore 1 10 3 6" xfId="32"/>
    <cellStyle name="20% - Colore 1 10 4" xfId="33"/>
    <cellStyle name="20% - Colore 1 10 5" xfId="34"/>
    <cellStyle name="20% - Colore 1 10 6" xfId="35"/>
    <cellStyle name="20% - Colore 1 10 7" xfId="36"/>
    <cellStyle name="20% - Colore 1 10 8" xfId="37"/>
    <cellStyle name="20% - Colore 1 11" xfId="38"/>
    <cellStyle name="20% - Colore 1 12" xfId="39"/>
    <cellStyle name="20% - Colore 1 13" xfId="40"/>
    <cellStyle name="20% - Colore 1 14" xfId="41"/>
    <cellStyle name="20% - Colore 1 15" xfId="42"/>
    <cellStyle name="20% - Colore 1 16" xfId="43"/>
    <cellStyle name="20% - Colore 1 17" xfId="44"/>
    <cellStyle name="20% - Colore 1 18" xfId="45"/>
    <cellStyle name="20% - Colore 1 19" xfId="46"/>
    <cellStyle name="20% - Colore 1 2" xfId="47"/>
    <cellStyle name="20% - Colore 1 20" xfId="48"/>
    <cellStyle name="20% - Colore 1 21" xfId="49"/>
    <cellStyle name="20% - Colore 1 22" xfId="50"/>
    <cellStyle name="20% - Colore 1 23" xfId="51"/>
    <cellStyle name="20% - Colore 1 24" xfId="52"/>
    <cellStyle name="20% - Colore 1 25" xfId="53"/>
    <cellStyle name="20% - Colore 1 26" xfId="54"/>
    <cellStyle name="20% - Colore 1 27" xfId="55"/>
    <cellStyle name="20% - Colore 1 28" xfId="56"/>
    <cellStyle name="20% - Colore 1 29" xfId="57"/>
    <cellStyle name="20% - Colore 1 3" xfId="58"/>
    <cellStyle name="20% - Colore 1 30" xfId="59"/>
    <cellStyle name="20% - Colore 1 31" xfId="60"/>
    <cellStyle name="20% - Colore 1 32" xfId="61"/>
    <cellStyle name="20% - Colore 1 33" xfId="62"/>
    <cellStyle name="20% - Colore 1 34" xfId="63"/>
    <cellStyle name="20% - Colore 1 35" xfId="64"/>
    <cellStyle name="20% - Colore 1 36" xfId="65"/>
    <cellStyle name="20% - Colore 1 37" xfId="66"/>
    <cellStyle name="20% - Colore 1 38" xfId="67"/>
    <cellStyle name="20% - Colore 1 39" xfId="68"/>
    <cellStyle name="20% - Colore 1 4" xfId="69"/>
    <cellStyle name="20% - Colore 1 40" xfId="70"/>
    <cellStyle name="20% - Colore 1 41" xfId="71"/>
    <cellStyle name="20% - Colore 1 42" xfId="72"/>
    <cellStyle name="20% - Colore 1 43" xfId="73"/>
    <cellStyle name="20% - Colore 1 44" xfId="74"/>
    <cellStyle name="20% - Colore 1 45" xfId="75"/>
    <cellStyle name="20% - Colore 1 46" xfId="76"/>
    <cellStyle name="20% - Colore 1 47" xfId="77"/>
    <cellStyle name="20% - Colore 1 48" xfId="78"/>
    <cellStyle name="20% - Colore 1 5" xfId="79"/>
    <cellStyle name="20% - Colore 1 6" xfId="80"/>
    <cellStyle name="20% - Colore 1 7" xfId="81"/>
    <cellStyle name="20% - Colore 1 8" xfId="82"/>
    <cellStyle name="20% - Colore 1 9" xfId="83"/>
    <cellStyle name="Migliaia 10" xfId="84"/>
    <cellStyle name="Migliaia 10 2" xfId="85"/>
    <cellStyle name="Migliaia 10 2 2" xfId="86"/>
    <cellStyle name="Migliaia 10 2 3" xfId="87"/>
    <cellStyle name="Migliaia 10 2 4" xfId="88"/>
    <cellStyle name="Migliaia 10 2 5" xfId="89"/>
    <cellStyle name="Migliaia 10 2 6" xfId="90"/>
    <cellStyle name="Migliaia 10 3" xfId="91"/>
    <cellStyle name="Migliaia 10 3 2" xfId="92"/>
    <cellStyle name="Migliaia 10 3 3" xfId="93"/>
    <cellStyle name="Migliaia 10 3 4" xfId="94"/>
    <cellStyle name="Migliaia 10 3 5" xfId="95"/>
    <cellStyle name="Migliaia 10 3 6" xfId="96"/>
    <cellStyle name="Migliaia 10 4" xfId="97"/>
    <cellStyle name="Migliaia 10 5" xfId="98"/>
    <cellStyle name="Migliaia 10 6" xfId="99"/>
    <cellStyle name="Migliaia 10 7" xfId="100"/>
    <cellStyle name="Migliaia 10 8" xfId="101"/>
    <cellStyle name="Migliaia 11" xfId="102"/>
    <cellStyle name="Migliaia 12" xfId="103"/>
    <cellStyle name="Migliaia 13" xfId="104"/>
    <cellStyle name="Migliaia 14" xfId="105"/>
    <cellStyle name="Migliaia 15" xfId="106"/>
    <cellStyle name="Migliaia 16" xfId="107"/>
    <cellStyle name="Migliaia 17" xfId="108"/>
    <cellStyle name="Migliaia 18" xfId="109"/>
    <cellStyle name="Migliaia 19" xfId="110"/>
    <cellStyle name="Migliaia 2" xfId="111"/>
    <cellStyle name="Migliaia 20" xfId="112"/>
    <cellStyle name="Migliaia 21" xfId="113"/>
    <cellStyle name="Migliaia 22" xfId="114"/>
    <cellStyle name="Migliaia 23" xfId="115"/>
    <cellStyle name="Migliaia 24" xfId="116"/>
    <cellStyle name="Migliaia 25" xfId="117"/>
    <cellStyle name="Migliaia 26" xfId="118"/>
    <cellStyle name="Migliaia 27" xfId="119"/>
    <cellStyle name="Migliaia 28" xfId="120"/>
    <cellStyle name="Migliaia 29" xfId="121"/>
    <cellStyle name="Migliaia 3" xfId="122"/>
    <cellStyle name="Migliaia 30" xfId="123"/>
    <cellStyle name="Migliaia 31" xfId="124"/>
    <cellStyle name="Migliaia 32" xfId="125"/>
    <cellStyle name="Migliaia 33" xfId="126"/>
    <cellStyle name="Migliaia 34" xfId="127"/>
    <cellStyle name="Migliaia 35" xfId="128"/>
    <cellStyle name="Migliaia 36" xfId="129"/>
    <cellStyle name="Migliaia 37" xfId="130"/>
    <cellStyle name="Migliaia 38" xfId="131"/>
    <cellStyle name="Migliaia 39" xfId="132"/>
    <cellStyle name="Migliaia 4" xfId="133"/>
    <cellStyle name="Migliaia 40" xfId="134"/>
    <cellStyle name="Migliaia 41" xfId="135"/>
    <cellStyle name="Migliaia 42" xfId="136"/>
    <cellStyle name="Migliaia 5" xfId="137"/>
    <cellStyle name="Migliaia 6" xfId="138"/>
    <cellStyle name="Migliaia 7" xfId="139"/>
    <cellStyle name="Migliaia 8" xfId="140"/>
    <cellStyle name="Migliaia 9" xfId="141"/>
    <cellStyle name="Normale 10" xfId="142"/>
    <cellStyle name="Normale 10 2" xfId="143"/>
    <cellStyle name="Normale 10 2 2" xfId="144"/>
    <cellStyle name="Normale 10 2 3" xfId="145"/>
    <cellStyle name="Normale 10 2 4" xfId="146"/>
    <cellStyle name="Normale 10 2 5" xfId="147"/>
    <cellStyle name="Normale 10 2 6" xfId="148"/>
    <cellStyle name="Normale 10 3" xfId="149"/>
    <cellStyle name="Normale 10 3 2" xfId="150"/>
    <cellStyle name="Normale 10 3 3" xfId="151"/>
    <cellStyle name="Normale 10 3 4" xfId="152"/>
    <cellStyle name="Normale 10 3 5" xfId="153"/>
    <cellStyle name="Normale 10 3 6" xfId="154"/>
    <cellStyle name="Normale 10 4" xfId="155"/>
    <cellStyle name="Normale 10 5" xfId="156"/>
    <cellStyle name="Normale 10 6" xfId="157"/>
    <cellStyle name="Normale 10 7" xfId="158"/>
    <cellStyle name="Normale 10 8" xfId="159"/>
    <cellStyle name="Normale 11" xfId="160"/>
    <cellStyle name="Normale 11 2" xfId="161"/>
    <cellStyle name="Normale 11 2 2" xfId="162"/>
    <cellStyle name="Normale 11 2 3" xfId="163"/>
    <cellStyle name="Normale 11 2 4" xfId="164"/>
    <cellStyle name="Normale 11 2 5" xfId="165"/>
    <cellStyle name="Normale 11 2 6" xfId="166"/>
    <cellStyle name="Normale 11 3" xfId="167"/>
    <cellStyle name="Normale 11 3 2" xfId="168"/>
    <cellStyle name="Normale 11 3 3" xfId="169"/>
    <cellStyle name="Normale 11 3 4" xfId="170"/>
    <cellStyle name="Normale 11 3 5" xfId="171"/>
    <cellStyle name="Normale 11 3 6" xfId="172"/>
    <cellStyle name="Normale 11 4" xfId="173"/>
    <cellStyle name="Normale 11 5" xfId="174"/>
    <cellStyle name="Normale 11 6" xfId="175"/>
    <cellStyle name="Normale 11 7" xfId="176"/>
    <cellStyle name="Normale 11 8" xfId="177"/>
    <cellStyle name="Normale 12" xfId="178"/>
    <cellStyle name="Normale 12 2" xfId="179"/>
    <cellStyle name="Normale 12 2 2" xfId="180"/>
    <cellStyle name="Normale 12 2 3" xfId="181"/>
    <cellStyle name="Normale 12 2 4" xfId="182"/>
    <cellStyle name="Normale 12 2 5" xfId="183"/>
    <cellStyle name="Normale 12 2 6" xfId="184"/>
    <cellStyle name="Normale 12 3" xfId="185"/>
    <cellStyle name="Normale 12 3 2" xfId="186"/>
    <cellStyle name="Normale 12 3 3" xfId="187"/>
    <cellStyle name="Normale 12 3 4" xfId="188"/>
    <cellStyle name="Normale 12 3 5" xfId="189"/>
    <cellStyle name="Normale 12 3 6" xfId="190"/>
    <cellStyle name="Normale 12 4" xfId="191"/>
    <cellStyle name="Normale 12 5" xfId="192"/>
    <cellStyle name="Normale 12 6" xfId="193"/>
    <cellStyle name="Normale 12 7" xfId="194"/>
    <cellStyle name="Normale 12 8" xfId="195"/>
    <cellStyle name="Normale 13" xfId="196"/>
    <cellStyle name="Normale 13 2" xfId="197"/>
    <cellStyle name="Normale 13 2 2" xfId="198"/>
    <cellStyle name="Normale 13 2 3" xfId="199"/>
    <cellStyle name="Normale 13 2 4" xfId="200"/>
    <cellStyle name="Normale 13 2 5" xfId="201"/>
    <cellStyle name="Normale 13 2 6" xfId="202"/>
    <cellStyle name="Normale 13 3" xfId="203"/>
    <cellStyle name="Normale 13 3 2" xfId="204"/>
    <cellStyle name="Normale 13 3 3" xfId="205"/>
    <cellStyle name="Normale 13 3 4" xfId="206"/>
    <cellStyle name="Normale 13 3 5" xfId="207"/>
    <cellStyle name="Normale 13 3 6" xfId="208"/>
    <cellStyle name="Normale 13 4" xfId="209"/>
    <cellStyle name="Normale 13 5" xfId="210"/>
    <cellStyle name="Normale 13 6" xfId="211"/>
    <cellStyle name="Normale 13 7" xfId="212"/>
    <cellStyle name="Normale 13 8" xfId="213"/>
    <cellStyle name="Normale 14" xfId="214"/>
    <cellStyle name="Normale 14 2" xfId="215"/>
    <cellStyle name="Normale 14 2 2" xfId="216"/>
    <cellStyle name="Normale 14 2 3" xfId="217"/>
    <cellStyle name="Normale 14 2 4" xfId="218"/>
    <cellStyle name="Normale 14 2 5" xfId="219"/>
    <cellStyle name="Normale 14 2 6" xfId="220"/>
    <cellStyle name="Normale 14 3" xfId="221"/>
    <cellStyle name="Normale 14 3 2" xfId="222"/>
    <cellStyle name="Normale 14 3 3" xfId="223"/>
    <cellStyle name="Normale 14 3 4" xfId="224"/>
    <cellStyle name="Normale 14 3 5" xfId="225"/>
    <cellStyle name="Normale 14 3 6" xfId="226"/>
    <cellStyle name="Normale 14 4" xfId="227"/>
    <cellStyle name="Normale 14 5" xfId="228"/>
    <cellStyle name="Normale 14 6" xfId="229"/>
    <cellStyle name="Normale 14 7" xfId="230"/>
    <cellStyle name="Normale 14 8" xfId="231"/>
    <cellStyle name="Normale 15" xfId="232"/>
    <cellStyle name="Normale 15 2" xfId="233"/>
    <cellStyle name="Normale 15 2 2" xfId="234"/>
    <cellStyle name="Normale 15 2 3" xfId="235"/>
    <cellStyle name="Normale 15 2 4" xfId="236"/>
    <cellStyle name="Normale 15 2 5" xfId="237"/>
    <cellStyle name="Normale 15 2 6" xfId="238"/>
    <cellStyle name="Normale 15 3" xfId="239"/>
    <cellStyle name="Normale 15 3 2" xfId="240"/>
    <cellStyle name="Normale 15 3 3" xfId="241"/>
    <cellStyle name="Normale 15 3 4" xfId="242"/>
    <cellStyle name="Normale 15 3 5" xfId="243"/>
    <cellStyle name="Normale 15 3 6" xfId="244"/>
    <cellStyle name="Normale 15 4" xfId="245"/>
    <cellStyle name="Normale 15 5" xfId="246"/>
    <cellStyle name="Normale 15 6" xfId="247"/>
    <cellStyle name="Normale 15 7" xfId="248"/>
    <cellStyle name="Normale 15 8" xfId="249"/>
    <cellStyle name="Normale 16" xfId="250"/>
    <cellStyle name="Normale 16 2" xfId="251"/>
    <cellStyle name="Normale 16 2 2" xfId="252"/>
    <cellStyle name="Normale 16 2 3" xfId="253"/>
    <cellStyle name="Normale 16 2 4" xfId="254"/>
    <cellStyle name="Normale 16 2 5" xfId="255"/>
    <cellStyle name="Normale 16 2 6" xfId="256"/>
    <cellStyle name="Normale 16 3" xfId="257"/>
    <cellStyle name="Normale 16 3 2" xfId="258"/>
    <cellStyle name="Normale 16 3 3" xfId="259"/>
    <cellStyle name="Normale 16 3 4" xfId="260"/>
    <cellStyle name="Normale 16 3 5" xfId="261"/>
    <cellStyle name="Normale 16 3 6" xfId="262"/>
    <cellStyle name="Normale 16 4" xfId="263"/>
    <cellStyle name="Normale 16 5" xfId="264"/>
    <cellStyle name="Normale 16 6" xfId="265"/>
    <cellStyle name="Normale 16 7" xfId="266"/>
    <cellStyle name="Normale 16 8" xfId="267"/>
    <cellStyle name="Normale 17" xfId="268"/>
    <cellStyle name="Normale 17 2" xfId="269"/>
    <cellStyle name="Normale 17 2 2" xfId="270"/>
    <cellStyle name="Normale 17 2 3" xfId="271"/>
    <cellStyle name="Normale 17 2 4" xfId="272"/>
    <cellStyle name="Normale 17 2 5" xfId="273"/>
    <cellStyle name="Normale 17 2 6" xfId="274"/>
    <cellStyle name="Normale 17 3" xfId="275"/>
    <cellStyle name="Normale 17 3 2" xfId="276"/>
    <cellStyle name="Normale 17 3 3" xfId="277"/>
    <cellStyle name="Normale 17 3 4" xfId="278"/>
    <cellStyle name="Normale 17 3 5" xfId="279"/>
    <cellStyle name="Normale 17 3 6" xfId="280"/>
    <cellStyle name="Normale 17 4" xfId="281"/>
    <cellStyle name="Normale 17 5" xfId="282"/>
    <cellStyle name="Normale 17 6" xfId="283"/>
    <cellStyle name="Normale 17 7" xfId="284"/>
    <cellStyle name="Normale 17 8" xfId="285"/>
    <cellStyle name="Normale 18" xfId="286"/>
    <cellStyle name="Normale 18 2" xfId="287"/>
    <cellStyle name="Normale 18 2 2" xfId="288"/>
    <cellStyle name="Normale 18 2 3" xfId="289"/>
    <cellStyle name="Normale 18 2 4" xfId="290"/>
    <cellStyle name="Normale 18 2 5" xfId="291"/>
    <cellStyle name="Normale 18 2 6" xfId="292"/>
    <cellStyle name="Normale 18 3" xfId="293"/>
    <cellStyle name="Normale 18 3 2" xfId="294"/>
    <cellStyle name="Normale 18 3 3" xfId="295"/>
    <cellStyle name="Normale 18 3 4" xfId="296"/>
    <cellStyle name="Normale 18 3 5" xfId="297"/>
    <cellStyle name="Normale 18 3 6" xfId="298"/>
    <cellStyle name="Normale 18 4" xfId="299"/>
    <cellStyle name="Normale 18 5" xfId="300"/>
    <cellStyle name="Normale 18 6" xfId="301"/>
    <cellStyle name="Normale 18 7" xfId="302"/>
    <cellStyle name="Normale 18 8" xfId="303"/>
    <cellStyle name="Normale 19" xfId="304"/>
    <cellStyle name="Normale 19 2" xfId="305"/>
    <cellStyle name="Normale 19 2 2" xfId="306"/>
    <cellStyle name="Normale 19 2 3" xfId="307"/>
    <cellStyle name="Normale 19 2 4" xfId="308"/>
    <cellStyle name="Normale 19 2 5" xfId="309"/>
    <cellStyle name="Normale 19 2 6" xfId="310"/>
    <cellStyle name="Normale 19 3" xfId="311"/>
    <cellStyle name="Normale 19 3 2" xfId="312"/>
    <cellStyle name="Normale 19 3 3" xfId="313"/>
    <cellStyle name="Normale 19 3 4" xfId="314"/>
    <cellStyle name="Normale 19 3 5" xfId="315"/>
    <cellStyle name="Normale 19 3 6" xfId="316"/>
    <cellStyle name="Normale 19 4" xfId="317"/>
    <cellStyle name="Normale 19 5" xfId="318"/>
    <cellStyle name="Normale 19 6" xfId="319"/>
    <cellStyle name="Normale 19 7" xfId="320"/>
    <cellStyle name="Normale 19 8" xfId="321"/>
    <cellStyle name="Normale 2" xfId="322"/>
    <cellStyle name="Normale 2 10" xfId="323"/>
    <cellStyle name="Normale 2 11" xfId="324"/>
    <cellStyle name="Normale 2 12" xfId="325"/>
    <cellStyle name="Normale 2 13" xfId="326"/>
    <cellStyle name="Normale 2 14" xfId="327"/>
    <cellStyle name="Normale 2 15" xfId="328"/>
    <cellStyle name="Normale 2 16" xfId="329"/>
    <cellStyle name="Normale 2 17" xfId="330"/>
    <cellStyle name="Normale 2 18" xfId="331"/>
    <cellStyle name="Normale 2 19" xfId="332"/>
    <cellStyle name="Normale 2 2" xfId="333"/>
    <cellStyle name="Normale 2 20" xfId="334"/>
    <cellStyle name="Normale 2 21" xfId="335"/>
    <cellStyle name="Normale 2 22" xfId="336"/>
    <cellStyle name="Normale 2 23" xfId="337"/>
    <cellStyle name="Normale 2 24" xfId="338"/>
    <cellStyle name="Normale 2 25" xfId="339"/>
    <cellStyle name="Normale 2 26" xfId="340"/>
    <cellStyle name="Normale 2 27" xfId="341"/>
    <cellStyle name="Normale 2 28" xfId="342"/>
    <cellStyle name="Normale 2 29" xfId="343"/>
    <cellStyle name="Normale 2 3" xfId="344"/>
    <cellStyle name="Normale 2 30" xfId="345"/>
    <cellStyle name="Normale 2 31" xfId="346"/>
    <cellStyle name="Normale 2 32" xfId="347"/>
    <cellStyle name="Normale 2 33" xfId="348"/>
    <cellStyle name="Normale 2 34" xfId="349"/>
    <cellStyle name="Normale 2 35" xfId="350"/>
    <cellStyle name="Normale 2 36" xfId="351"/>
    <cellStyle name="Normale 2 37" xfId="352"/>
    <cellStyle name="Normale 2 38" xfId="353"/>
    <cellStyle name="Normale 2 39" xfId="354"/>
    <cellStyle name="Normale 2 4" xfId="355"/>
    <cellStyle name="Normale 2 40" xfId="356"/>
    <cellStyle name="Normale 2 41" xfId="357"/>
    <cellStyle name="Normale 2 42" xfId="358"/>
    <cellStyle name="Normale 2 5" xfId="359"/>
    <cellStyle name="Normale 2 6" xfId="360"/>
    <cellStyle name="Normale 2 7" xfId="361"/>
    <cellStyle name="Normale 2 8" xfId="362"/>
    <cellStyle name="Normale 2 9" xfId="363"/>
    <cellStyle name="Normale 20" xfId="364"/>
    <cellStyle name="Normale 21" xfId="365"/>
    <cellStyle name="Normale 21 2" xfId="366"/>
    <cellStyle name="Normale 21 2 2" xfId="367"/>
    <cellStyle name="Normale 21 2 3" xfId="368"/>
    <cellStyle name="Normale 21 2 4" xfId="369"/>
    <cellStyle name="Normale 21 2 5" xfId="370"/>
    <cellStyle name="Normale 21 2 6" xfId="371"/>
    <cellStyle name="Normale 21 3" xfId="372"/>
    <cellStyle name="Normale 21 3 2" xfId="373"/>
    <cellStyle name="Normale 21 3 3" xfId="374"/>
    <cellStyle name="Normale 21 3 4" xfId="375"/>
    <cellStyle name="Normale 21 3 5" xfId="376"/>
    <cellStyle name="Normale 21 3 6" xfId="377"/>
    <cellStyle name="Normale 21 4" xfId="378"/>
    <cellStyle name="Normale 21 5" xfId="379"/>
    <cellStyle name="Normale 21 6" xfId="380"/>
    <cellStyle name="Normale 21 7" xfId="381"/>
    <cellStyle name="Normale 21 8" xfId="382"/>
    <cellStyle name="Normale 22" xfId="383"/>
    <cellStyle name="Normale 22 2" xfId="384"/>
    <cellStyle name="Normale 22 2 2" xfId="385"/>
    <cellStyle name="Normale 22 2 3" xfId="386"/>
    <cellStyle name="Normale 22 2 4" xfId="387"/>
    <cellStyle name="Normale 22 2 5" xfId="388"/>
    <cellStyle name="Normale 22 2 6" xfId="389"/>
    <cellStyle name="Normale 22 3" xfId="390"/>
    <cellStyle name="Normale 22 3 2" xfId="391"/>
    <cellStyle name="Normale 22 3 3" xfId="392"/>
    <cellStyle name="Normale 22 3 4" xfId="393"/>
    <cellStyle name="Normale 22 3 5" xfId="394"/>
    <cellStyle name="Normale 22 3 6" xfId="395"/>
    <cellStyle name="Normale 22 4" xfId="396"/>
    <cellStyle name="Normale 22 5" xfId="397"/>
    <cellStyle name="Normale 22 6" xfId="398"/>
    <cellStyle name="Normale 22 7" xfId="399"/>
    <cellStyle name="Normale 22 8" xfId="400"/>
    <cellStyle name="Normale 23" xfId="401"/>
    <cellStyle name="Normale 23 2" xfId="402"/>
    <cellStyle name="Normale 23 2 2" xfId="403"/>
    <cellStyle name="Normale 23 2 3" xfId="404"/>
    <cellStyle name="Normale 23 2 4" xfId="405"/>
    <cellStyle name="Normale 23 2 5" xfId="406"/>
    <cellStyle name="Normale 23 2 6" xfId="407"/>
    <cellStyle name="Normale 23 3" xfId="408"/>
    <cellStyle name="Normale 23 3 2" xfId="409"/>
    <cellStyle name="Normale 23 3 3" xfId="410"/>
    <cellStyle name="Normale 23 3 4" xfId="411"/>
    <cellStyle name="Normale 23 3 5" xfId="412"/>
    <cellStyle name="Normale 23 3 6" xfId="413"/>
    <cellStyle name="Normale 23 4" xfId="414"/>
    <cellStyle name="Normale 23 5" xfId="415"/>
    <cellStyle name="Normale 23 6" xfId="416"/>
    <cellStyle name="Normale 23 7" xfId="417"/>
    <cellStyle name="Normale 23 8" xfId="418"/>
    <cellStyle name="Normale 24" xfId="419"/>
    <cellStyle name="Normale 24 2" xfId="420"/>
    <cellStyle name="Normale 24 2 2" xfId="421"/>
    <cellStyle name="Normale 24 2 3" xfId="422"/>
    <cellStyle name="Normale 24 2 4" xfId="423"/>
    <cellStyle name="Normale 24 2 5" xfId="424"/>
    <cellStyle name="Normale 24 2 6" xfId="425"/>
    <cellStyle name="Normale 24 3" xfId="426"/>
    <cellStyle name="Normale 24 3 2" xfId="427"/>
    <cellStyle name="Normale 24 3 3" xfId="428"/>
    <cellStyle name="Normale 24 3 4" xfId="429"/>
    <cellStyle name="Normale 24 3 5" xfId="430"/>
    <cellStyle name="Normale 24 3 6" xfId="431"/>
    <cellStyle name="Normale 24 4" xfId="432"/>
    <cellStyle name="Normale 24 5" xfId="433"/>
    <cellStyle name="Normale 24 6" xfId="434"/>
    <cellStyle name="Normale 24 7" xfId="435"/>
    <cellStyle name="Normale 24 8" xfId="436"/>
    <cellStyle name="Normale 25" xfId="437"/>
    <cellStyle name="Normale 25 2" xfId="438"/>
    <cellStyle name="Normale 25 2 2" xfId="439"/>
    <cellStyle name="Normale 25 2 3" xfId="440"/>
    <cellStyle name="Normale 25 2 4" xfId="441"/>
    <cellStyle name="Normale 25 2 5" xfId="442"/>
    <cellStyle name="Normale 25 2 6" xfId="443"/>
    <cellStyle name="Normale 25 3" xfId="444"/>
    <cellStyle name="Normale 25 3 2" xfId="445"/>
    <cellStyle name="Normale 25 3 3" xfId="446"/>
    <cellStyle name="Normale 25 3 4" xfId="447"/>
    <cellStyle name="Normale 25 3 5" xfId="448"/>
    <cellStyle name="Normale 25 3 6" xfId="449"/>
    <cellStyle name="Normale 25 4" xfId="450"/>
    <cellStyle name="Normale 25 5" xfId="451"/>
    <cellStyle name="Normale 25 6" xfId="452"/>
    <cellStyle name="Normale 25 7" xfId="453"/>
    <cellStyle name="Normale 25 8" xfId="454"/>
    <cellStyle name="Normale 26" xfId="455"/>
    <cellStyle name="Normale 26 2" xfId="456"/>
    <cellStyle name="Normale 26 2 2" xfId="457"/>
    <cellStyle name="Normale 26 2 3" xfId="458"/>
    <cellStyle name="Normale 26 2 4" xfId="459"/>
    <cellStyle name="Normale 26 2 5" xfId="460"/>
    <cellStyle name="Normale 26 2 6" xfId="461"/>
    <cellStyle name="Normale 26 3" xfId="462"/>
    <cellStyle name="Normale 26 3 2" xfId="463"/>
    <cellStyle name="Normale 26 3 3" xfId="464"/>
    <cellStyle name="Normale 26 3 4" xfId="465"/>
    <cellStyle name="Normale 26 3 5" xfId="466"/>
    <cellStyle name="Normale 26 3 6" xfId="467"/>
    <cellStyle name="Normale 26 4" xfId="468"/>
    <cellStyle name="Normale 26 5" xfId="469"/>
    <cellStyle name="Normale 26 6" xfId="470"/>
    <cellStyle name="Normale 26 7" xfId="471"/>
    <cellStyle name="Normale 26 8" xfId="472"/>
    <cellStyle name="Normale 27" xfId="473"/>
    <cellStyle name="Normale 27 2" xfId="474"/>
    <cellStyle name="Normale 27 2 2" xfId="475"/>
    <cellStyle name="Normale 27 2 3" xfId="476"/>
    <cellStyle name="Normale 27 2 4" xfId="477"/>
    <cellStyle name="Normale 27 2 5" xfId="478"/>
    <cellStyle name="Normale 27 2 6" xfId="479"/>
    <cellStyle name="Normale 27 3" xfId="480"/>
    <cellStyle name="Normale 27 3 2" xfId="481"/>
    <cellStyle name="Normale 27 3 3" xfId="482"/>
    <cellStyle name="Normale 27 3 4" xfId="483"/>
    <cellStyle name="Normale 27 3 5" xfId="484"/>
    <cellStyle name="Normale 27 3 6" xfId="485"/>
    <cellStyle name="Normale 27 4" xfId="486"/>
    <cellStyle name="Normale 27 5" xfId="487"/>
    <cellStyle name="Normale 27 6" xfId="488"/>
    <cellStyle name="Normale 27 7" xfId="489"/>
    <cellStyle name="Normale 27 8" xfId="490"/>
    <cellStyle name="Normale 28" xfId="491"/>
    <cellStyle name="Normale 28 2" xfId="492"/>
    <cellStyle name="Normale 28 2 2" xfId="493"/>
    <cellStyle name="Normale 28 2 3" xfId="494"/>
    <cellStyle name="Normale 28 2 4" xfId="495"/>
    <cellStyle name="Normale 28 2 5" xfId="496"/>
    <cellStyle name="Normale 28 2 6" xfId="497"/>
    <cellStyle name="Normale 28 3" xfId="498"/>
    <cellStyle name="Normale 28 3 2" xfId="499"/>
    <cellStyle name="Normale 28 3 3" xfId="500"/>
    <cellStyle name="Normale 28 3 4" xfId="501"/>
    <cellStyle name="Normale 28 3 5" xfId="502"/>
    <cellStyle name="Normale 28 3 6" xfId="503"/>
    <cellStyle name="Normale 28 4" xfId="504"/>
    <cellStyle name="Normale 28 5" xfId="505"/>
    <cellStyle name="Normale 28 6" xfId="506"/>
    <cellStyle name="Normale 28 7" xfId="507"/>
    <cellStyle name="Normale 28 8" xfId="508"/>
    <cellStyle name="Normale 29" xfId="509"/>
    <cellStyle name="Normale 29 2" xfId="510"/>
    <cellStyle name="Normale 29 2 2" xfId="511"/>
    <cellStyle name="Normale 29 2 3" xfId="512"/>
    <cellStyle name="Normale 29 2 4" xfId="513"/>
    <cellStyle name="Normale 29 2 5" xfId="514"/>
    <cellStyle name="Normale 29 2 6" xfId="515"/>
    <cellStyle name="Normale 29 3" xfId="516"/>
    <cellStyle name="Normale 29 3 2" xfId="517"/>
    <cellStyle name="Normale 29 3 3" xfId="518"/>
    <cellStyle name="Normale 29 3 4" xfId="519"/>
    <cellStyle name="Normale 29 3 5" xfId="520"/>
    <cellStyle name="Normale 29 3 6" xfId="521"/>
    <cellStyle name="Normale 29 4" xfId="522"/>
    <cellStyle name="Normale 29 5" xfId="523"/>
    <cellStyle name="Normale 29 6" xfId="524"/>
    <cellStyle name="Normale 29 7" xfId="525"/>
    <cellStyle name="Normale 29 8" xfId="526"/>
    <cellStyle name="Normale 2_CC52" xfId="527"/>
    <cellStyle name="Normale 3" xfId="528"/>
    <cellStyle name="Normale 3 10" xfId="529"/>
    <cellStyle name="Normale 3 11" xfId="530"/>
    <cellStyle name="Normale 3 12" xfId="531"/>
    <cellStyle name="Normale 3 13" xfId="532"/>
    <cellStyle name="Normale 3 14" xfId="533"/>
    <cellStyle name="Normale 3 15" xfId="534"/>
    <cellStyle name="Normale 3 16" xfId="535"/>
    <cellStyle name="Normale 3 17" xfId="536"/>
    <cellStyle name="Normale 3 18" xfId="537"/>
    <cellStyle name="Normale 3 19" xfId="538"/>
    <cellStyle name="Normale 3 2" xfId="539"/>
    <cellStyle name="Normale 3 20" xfId="540"/>
    <cellStyle name="Normale 3 21" xfId="541"/>
    <cellStyle name="Normale 3 22" xfId="542"/>
    <cellStyle name="Normale 3 23" xfId="543"/>
    <cellStyle name="Normale 3 24" xfId="544"/>
    <cellStyle name="Normale 3 25" xfId="545"/>
    <cellStyle name="Normale 3 26" xfId="546"/>
    <cellStyle name="Normale 3 27" xfId="547"/>
    <cellStyle name="Normale 3 28" xfId="548"/>
    <cellStyle name="Normale 3 29" xfId="549"/>
    <cellStyle name="Normale 3 3" xfId="550"/>
    <cellStyle name="Normale 3 30" xfId="551"/>
    <cellStyle name="Normale 3 31" xfId="552"/>
    <cellStyle name="Normale 3 32" xfId="553"/>
    <cellStyle name="Normale 3 33" xfId="554"/>
    <cellStyle name="Normale 3 34" xfId="555"/>
    <cellStyle name="Normale 3 35" xfId="556"/>
    <cellStyle name="Normale 3 36" xfId="557"/>
    <cellStyle name="Normale 3 37" xfId="558"/>
    <cellStyle name="Normale 3 38" xfId="559"/>
    <cellStyle name="Normale 3 39" xfId="560"/>
    <cellStyle name="Normale 3 4" xfId="561"/>
    <cellStyle name="Normale 3 40" xfId="562"/>
    <cellStyle name="Normale 3 41" xfId="563"/>
    <cellStyle name="Normale 3 42" xfId="564"/>
    <cellStyle name="Normale 3 43" xfId="565"/>
    <cellStyle name="Normale 3 43 2" xfId="566"/>
    <cellStyle name="Normale 3 43 3" xfId="567"/>
    <cellStyle name="Normale 3 43 4" xfId="568"/>
    <cellStyle name="Normale 3 43 5" xfId="569"/>
    <cellStyle name="Normale 3 43 6" xfId="570"/>
    <cellStyle name="Normale 3 44" xfId="571"/>
    <cellStyle name="Normale 3 44 2" xfId="572"/>
    <cellStyle name="Normale 3 44 3" xfId="573"/>
    <cellStyle name="Normale 3 44 4" xfId="574"/>
    <cellStyle name="Normale 3 44 5" xfId="575"/>
    <cellStyle name="Normale 3 44 6" xfId="576"/>
    <cellStyle name="Normale 3 45" xfId="577"/>
    <cellStyle name="Normale 3 46" xfId="578"/>
    <cellStyle name="Normale 3 47" xfId="579"/>
    <cellStyle name="Normale 3 48" xfId="580"/>
    <cellStyle name="Normale 3 49" xfId="581"/>
    <cellStyle name="Normale 3 5" xfId="582"/>
    <cellStyle name="Normale 3 6" xfId="583"/>
    <cellStyle name="Normale 3 7" xfId="584"/>
    <cellStyle name="Normale 3 8" xfId="585"/>
    <cellStyle name="Normale 3 9" xfId="586"/>
    <cellStyle name="Normale 30" xfId="587"/>
    <cellStyle name="Normale 30 2" xfId="588"/>
    <cellStyle name="Normale 30 2 2" xfId="589"/>
    <cellStyle name="Normale 30 2 3" xfId="590"/>
    <cellStyle name="Normale 30 2 4" xfId="591"/>
    <cellStyle name="Normale 30 2 5" xfId="592"/>
    <cellStyle name="Normale 30 2 6" xfId="593"/>
    <cellStyle name="Normale 30 3" xfId="594"/>
    <cellStyle name="Normale 30 3 2" xfId="595"/>
    <cellStyle name="Normale 30 3 3" xfId="596"/>
    <cellStyle name="Normale 30 3 4" xfId="597"/>
    <cellStyle name="Normale 30 3 5" xfId="598"/>
    <cellStyle name="Normale 30 3 6" xfId="599"/>
    <cellStyle name="Normale 30 4" xfId="600"/>
    <cellStyle name="Normale 30 5" xfId="601"/>
    <cellStyle name="Normale 30 6" xfId="602"/>
    <cellStyle name="Normale 30 7" xfId="603"/>
    <cellStyle name="Normale 30 8" xfId="604"/>
    <cellStyle name="Normale 31" xfId="605"/>
    <cellStyle name="Normale 31 2" xfId="606"/>
    <cellStyle name="Normale 31 2 2" xfId="607"/>
    <cellStyle name="Normale 31 2 3" xfId="608"/>
    <cellStyle name="Normale 31 2 4" xfId="609"/>
    <cellStyle name="Normale 31 2 5" xfId="610"/>
    <cellStyle name="Normale 31 2 6" xfId="611"/>
    <cellStyle name="Normale 31 3" xfId="612"/>
    <cellStyle name="Normale 31 3 2" xfId="613"/>
    <cellStyle name="Normale 31 3 3" xfId="614"/>
    <cellStyle name="Normale 31 3 4" xfId="615"/>
    <cellStyle name="Normale 31 3 5" xfId="616"/>
    <cellStyle name="Normale 31 3 6" xfId="617"/>
    <cellStyle name="Normale 31 4" xfId="618"/>
    <cellStyle name="Normale 31 5" xfId="619"/>
    <cellStyle name="Normale 31 6" xfId="620"/>
    <cellStyle name="Normale 31 7" xfId="621"/>
    <cellStyle name="Normale 31 8" xfId="622"/>
    <cellStyle name="Normale 32" xfId="623"/>
    <cellStyle name="Normale 33" xfId="624"/>
    <cellStyle name="Normale 33 2" xfId="625"/>
    <cellStyle name="Normale 33 2 2" xfId="626"/>
    <cellStyle name="Normale 33 2 3" xfId="627"/>
    <cellStyle name="Normale 33 2 4" xfId="628"/>
    <cellStyle name="Normale 33 2 5" xfId="629"/>
    <cellStyle name="Normale 33 2 6" xfId="630"/>
    <cellStyle name="Normale 33 3" xfId="631"/>
    <cellStyle name="Normale 33 3 2" xfId="632"/>
    <cellStyle name="Normale 33 3 3" xfId="633"/>
    <cellStyle name="Normale 33 3 4" xfId="634"/>
    <cellStyle name="Normale 33 3 5" xfId="635"/>
    <cellStyle name="Normale 33 3 6" xfId="636"/>
    <cellStyle name="Normale 33 4" xfId="637"/>
    <cellStyle name="Normale 33 5" xfId="638"/>
    <cellStyle name="Normale 33 6" xfId="639"/>
    <cellStyle name="Normale 33 7" xfId="640"/>
    <cellStyle name="Normale 33 8" xfId="641"/>
    <cellStyle name="Normale 34" xfId="642"/>
    <cellStyle name="Normale 34 2" xfId="643"/>
    <cellStyle name="Normale 34 2 2" xfId="644"/>
    <cellStyle name="Normale 34 2 3" xfId="645"/>
    <cellStyle name="Normale 34 2 4" xfId="646"/>
    <cellStyle name="Normale 34 2 5" xfId="647"/>
    <cellStyle name="Normale 34 2 6" xfId="648"/>
    <cellStyle name="Normale 34 3" xfId="649"/>
    <cellStyle name="Normale 34 3 2" xfId="650"/>
    <cellStyle name="Normale 34 3 3" xfId="651"/>
    <cellStyle name="Normale 34 3 4" xfId="652"/>
    <cellStyle name="Normale 34 3 5" xfId="653"/>
    <cellStyle name="Normale 34 3 6" xfId="654"/>
    <cellStyle name="Normale 34 4" xfId="655"/>
    <cellStyle name="Normale 34 5" xfId="656"/>
    <cellStyle name="Normale 34 6" xfId="657"/>
    <cellStyle name="Normale 34 7" xfId="658"/>
    <cellStyle name="Normale 34 8" xfId="659"/>
    <cellStyle name="Normale 35" xfId="660"/>
    <cellStyle name="Normale 35 2" xfId="661"/>
    <cellStyle name="Normale 35 2 2" xfId="662"/>
    <cellStyle name="Normale 35 2 3" xfId="663"/>
    <cellStyle name="Normale 35 2 4" xfId="664"/>
    <cellStyle name="Normale 35 2 5" xfId="665"/>
    <cellStyle name="Normale 35 2 6" xfId="666"/>
    <cellStyle name="Normale 35 3" xfId="667"/>
    <cellStyle name="Normale 35 3 2" xfId="668"/>
    <cellStyle name="Normale 35 3 3" xfId="669"/>
    <cellStyle name="Normale 35 3 4" xfId="670"/>
    <cellStyle name="Normale 35 3 5" xfId="671"/>
    <cellStyle name="Normale 35 3 6" xfId="672"/>
    <cellStyle name="Normale 35 4" xfId="673"/>
    <cellStyle name="Normale 35 5" xfId="674"/>
    <cellStyle name="Normale 35 6" xfId="675"/>
    <cellStyle name="Normale 35 7" xfId="676"/>
    <cellStyle name="Normale 35 8" xfId="677"/>
    <cellStyle name="Normale 36" xfId="678"/>
    <cellStyle name="Normale 36 2" xfId="679"/>
    <cellStyle name="Normale 36 2 2" xfId="680"/>
    <cellStyle name="Normale 36 2 3" xfId="681"/>
    <cellStyle name="Normale 36 2 4" xfId="682"/>
    <cellStyle name="Normale 36 2 5" xfId="683"/>
    <cellStyle name="Normale 36 2 6" xfId="684"/>
    <cellStyle name="Normale 36 3" xfId="685"/>
    <cellStyle name="Normale 36 3 2" xfId="686"/>
    <cellStyle name="Normale 36 3 3" xfId="687"/>
    <cellStyle name="Normale 36 3 4" xfId="688"/>
    <cellStyle name="Normale 36 3 5" xfId="689"/>
    <cellStyle name="Normale 36 3 6" xfId="690"/>
    <cellStyle name="Normale 36 4" xfId="691"/>
    <cellStyle name="Normale 36 5" xfId="692"/>
    <cellStyle name="Normale 36 6" xfId="693"/>
    <cellStyle name="Normale 36 7" xfId="694"/>
    <cellStyle name="Normale 36 8" xfId="695"/>
    <cellStyle name="Normale 37" xfId="696"/>
    <cellStyle name="Normale 37 2" xfId="697"/>
    <cellStyle name="Normale 37 2 2" xfId="698"/>
    <cellStyle name="Normale 37 2 3" xfId="699"/>
    <cellStyle name="Normale 37 2 4" xfId="700"/>
    <cellStyle name="Normale 37 2 5" xfId="701"/>
    <cellStyle name="Normale 37 2 6" xfId="702"/>
    <cellStyle name="Normale 37 3" xfId="703"/>
    <cellStyle name="Normale 37 3 2" xfId="704"/>
    <cellStyle name="Normale 37 3 3" xfId="705"/>
    <cellStyle name="Normale 37 3 4" xfId="706"/>
    <cellStyle name="Normale 37 3 5" xfId="707"/>
    <cellStyle name="Normale 37 3 6" xfId="708"/>
    <cellStyle name="Normale 37 4" xfId="709"/>
    <cellStyle name="Normale 37 5" xfId="710"/>
    <cellStyle name="Normale 37 6" xfId="711"/>
    <cellStyle name="Normale 37 7" xfId="712"/>
    <cellStyle name="Normale 37 8" xfId="713"/>
    <cellStyle name="Normale 38" xfId="714"/>
    <cellStyle name="Normale 38 2" xfId="715"/>
    <cellStyle name="Normale 38 2 2" xfId="716"/>
    <cellStyle name="Normale 38 2 3" xfId="717"/>
    <cellStyle name="Normale 38 2 4" xfId="718"/>
    <cellStyle name="Normale 38 2 5" xfId="719"/>
    <cellStyle name="Normale 38 2 6" xfId="720"/>
    <cellStyle name="Normale 38 3" xfId="721"/>
    <cellStyle name="Normale 38 3 2" xfId="722"/>
    <cellStyle name="Normale 38 3 3" xfId="723"/>
    <cellStyle name="Normale 38 3 4" xfId="724"/>
    <cellStyle name="Normale 38 3 5" xfId="725"/>
    <cellStyle name="Normale 38 3 6" xfId="726"/>
    <cellStyle name="Normale 38 4" xfId="727"/>
    <cellStyle name="Normale 38 5" xfId="728"/>
    <cellStyle name="Normale 38 6" xfId="729"/>
    <cellStyle name="Normale 38 7" xfId="730"/>
    <cellStyle name="Normale 38 8" xfId="731"/>
    <cellStyle name="Normale 39" xfId="732"/>
    <cellStyle name="Normale 39 2" xfId="733"/>
    <cellStyle name="Normale 39 2 2" xfId="734"/>
    <cellStyle name="Normale 39 2 3" xfId="735"/>
    <cellStyle name="Normale 39 2 4" xfId="736"/>
    <cellStyle name="Normale 39 2 5" xfId="737"/>
    <cellStyle name="Normale 39 2 6" xfId="738"/>
    <cellStyle name="Normale 39 3" xfId="739"/>
    <cellStyle name="Normale 39 3 2" xfId="740"/>
    <cellStyle name="Normale 39 3 3" xfId="741"/>
    <cellStyle name="Normale 39 3 4" xfId="742"/>
    <cellStyle name="Normale 39 3 5" xfId="743"/>
    <cellStyle name="Normale 39 3 6" xfId="744"/>
    <cellStyle name="Normale 39 4" xfId="745"/>
    <cellStyle name="Normale 39 5" xfId="746"/>
    <cellStyle name="Normale 39 6" xfId="747"/>
    <cellStyle name="Normale 39 7" xfId="748"/>
    <cellStyle name="Normale 39 8" xfId="749"/>
    <cellStyle name="Normale 4" xfId="750"/>
    <cellStyle name="Normale 4 2" xfId="751"/>
    <cellStyle name="Normale 4 2 2" xfId="752"/>
    <cellStyle name="Normale 4 2 3" xfId="753"/>
    <cellStyle name="Normale 4 2 4" xfId="754"/>
    <cellStyle name="Normale 4 2 5" xfId="755"/>
    <cellStyle name="Normale 4 2 6" xfId="756"/>
    <cellStyle name="Normale 4 3" xfId="757"/>
    <cellStyle name="Normale 4 3 2" xfId="758"/>
    <cellStyle name="Normale 4 3 3" xfId="759"/>
    <cellStyle name="Normale 4 3 4" xfId="760"/>
    <cellStyle name="Normale 4 3 5" xfId="761"/>
    <cellStyle name="Normale 4 3 6" xfId="762"/>
    <cellStyle name="Normale 4 4" xfId="763"/>
    <cellStyle name="Normale 4 5" xfId="764"/>
    <cellStyle name="Normale 4 6" xfId="765"/>
    <cellStyle name="Normale 4 7" xfId="766"/>
    <cellStyle name="Normale 4 8" xfId="767"/>
    <cellStyle name="Normale 40" xfId="768"/>
    <cellStyle name="Normale 40 2" xfId="769"/>
    <cellStyle name="Normale 40 2 2" xfId="770"/>
    <cellStyle name="Normale 40 2 3" xfId="771"/>
    <cellStyle name="Normale 40 2 4" xfId="772"/>
    <cellStyle name="Normale 40 2 5" xfId="773"/>
    <cellStyle name="Normale 40 2 6" xfId="774"/>
    <cellStyle name="Normale 40 3" xfId="775"/>
    <cellStyle name="Normale 40 3 2" xfId="776"/>
    <cellStyle name="Normale 40 3 3" xfId="777"/>
    <cellStyle name="Normale 40 3 4" xfId="778"/>
    <cellStyle name="Normale 40 3 5" xfId="779"/>
    <cellStyle name="Normale 40 3 6" xfId="780"/>
    <cellStyle name="Normale 40 4" xfId="781"/>
    <cellStyle name="Normale 40 5" xfId="782"/>
    <cellStyle name="Normale 40 6" xfId="783"/>
    <cellStyle name="Normale 40 7" xfId="784"/>
    <cellStyle name="Normale 40 8" xfId="785"/>
    <cellStyle name="Normale 41" xfId="786"/>
    <cellStyle name="Normale 41 2" xfId="787"/>
    <cellStyle name="Normale 41 2 2" xfId="788"/>
    <cellStyle name="Normale 41 2 3" xfId="789"/>
    <cellStyle name="Normale 41 2 4" xfId="790"/>
    <cellStyle name="Normale 41 2 5" xfId="791"/>
    <cellStyle name="Normale 41 2 6" xfId="792"/>
    <cellStyle name="Normale 41 3" xfId="793"/>
    <cellStyle name="Normale 41 3 2" xfId="794"/>
    <cellStyle name="Normale 41 3 3" xfId="795"/>
    <cellStyle name="Normale 41 3 4" xfId="796"/>
    <cellStyle name="Normale 41 3 5" xfId="797"/>
    <cellStyle name="Normale 41 3 6" xfId="798"/>
    <cellStyle name="Normale 41 4" xfId="799"/>
    <cellStyle name="Normale 41 5" xfId="800"/>
    <cellStyle name="Normale 41 6" xfId="801"/>
    <cellStyle name="Normale 41 7" xfId="802"/>
    <cellStyle name="Normale 41 8" xfId="803"/>
    <cellStyle name="Normale 42" xfId="804"/>
    <cellStyle name="Normale 42 2" xfId="805"/>
    <cellStyle name="Normale 42 2 2" xfId="806"/>
    <cellStyle name="Normale 42 2 3" xfId="807"/>
    <cellStyle name="Normale 42 2 4" xfId="808"/>
    <cellStyle name="Normale 42 2 5" xfId="809"/>
    <cellStyle name="Normale 42 2 6" xfId="810"/>
    <cellStyle name="Normale 42 3" xfId="811"/>
    <cellStyle name="Normale 42 3 2" xfId="812"/>
    <cellStyle name="Normale 42 3 3" xfId="813"/>
    <cellStyle name="Normale 42 3 4" xfId="814"/>
    <cellStyle name="Normale 42 3 5" xfId="815"/>
    <cellStyle name="Normale 42 3 6" xfId="816"/>
    <cellStyle name="Normale 42 4" xfId="817"/>
    <cellStyle name="Normale 42 5" xfId="818"/>
    <cellStyle name="Normale 42 6" xfId="819"/>
    <cellStyle name="Normale 42 7" xfId="820"/>
    <cellStyle name="Normale 42 8" xfId="821"/>
    <cellStyle name="Normale 43" xfId="822"/>
    <cellStyle name="Normale 43 2" xfId="823"/>
    <cellStyle name="Normale 43 2 2" xfId="824"/>
    <cellStyle name="Normale 43 2 3" xfId="825"/>
    <cellStyle name="Normale 43 2 4" xfId="826"/>
    <cellStyle name="Normale 43 2 5" xfId="827"/>
    <cellStyle name="Normale 43 2 6" xfId="828"/>
    <cellStyle name="Normale 43 3" xfId="829"/>
    <cellStyle name="Normale 43 3 2" xfId="830"/>
    <cellStyle name="Normale 43 3 3" xfId="831"/>
    <cellStyle name="Normale 43 3 4" xfId="832"/>
    <cellStyle name="Normale 43 3 5" xfId="833"/>
    <cellStyle name="Normale 43 3 6" xfId="834"/>
    <cellStyle name="Normale 43 4" xfId="835"/>
    <cellStyle name="Normale 43 5" xfId="836"/>
    <cellStyle name="Normale 43 6" xfId="837"/>
    <cellStyle name="Normale 43 7" xfId="838"/>
    <cellStyle name="Normale 43 8" xfId="839"/>
    <cellStyle name="Normale 5" xfId="840"/>
    <cellStyle name="Normale 5 2" xfId="841"/>
    <cellStyle name="Normale 5 2 2" xfId="842"/>
    <cellStyle name="Normale 5 2 3" xfId="843"/>
    <cellStyle name="Normale 5 2 4" xfId="844"/>
    <cellStyle name="Normale 5 2 5" xfId="845"/>
    <cellStyle name="Normale 5 2 6" xfId="846"/>
    <cellStyle name="Normale 5 3" xfId="847"/>
    <cellStyle name="Normale 5 3 2" xfId="848"/>
    <cellStyle name="Normale 5 3 3" xfId="849"/>
    <cellStyle name="Normale 5 3 4" xfId="850"/>
    <cellStyle name="Normale 5 3 5" xfId="851"/>
    <cellStyle name="Normale 5 3 6" xfId="852"/>
    <cellStyle name="Normale 5 4" xfId="853"/>
    <cellStyle name="Normale 5 5" xfId="854"/>
    <cellStyle name="Normale 5 6" xfId="855"/>
    <cellStyle name="Normale 5 7" xfId="856"/>
    <cellStyle name="Normale 5 8" xfId="857"/>
    <cellStyle name="Normale 6" xfId="858"/>
    <cellStyle name="Normale 7" xfId="859"/>
    <cellStyle name="Normale 7 2" xfId="860"/>
    <cellStyle name="Normale 7 2 2" xfId="861"/>
    <cellStyle name="Normale 7 2 3" xfId="862"/>
    <cellStyle name="Normale 7 2 4" xfId="863"/>
    <cellStyle name="Normale 7 2 5" xfId="864"/>
    <cellStyle name="Normale 7 2 6" xfId="865"/>
    <cellStyle name="Normale 7 3" xfId="866"/>
    <cellStyle name="Normale 7 3 2" xfId="867"/>
    <cellStyle name="Normale 7 3 3" xfId="868"/>
    <cellStyle name="Normale 7 3 4" xfId="869"/>
    <cellStyle name="Normale 7 3 5" xfId="870"/>
    <cellStyle name="Normale 7 3 6" xfId="871"/>
    <cellStyle name="Normale 7 4" xfId="872"/>
    <cellStyle name="Normale 7 5" xfId="873"/>
    <cellStyle name="Normale 7 6" xfId="874"/>
    <cellStyle name="Normale 7 7" xfId="875"/>
    <cellStyle name="Normale 7 8" xfId="876"/>
    <cellStyle name="Normale 8" xfId="877"/>
    <cellStyle name="Normale 8 2" xfId="878"/>
    <cellStyle name="Normale 8 2 2" xfId="879"/>
    <cellStyle name="Normale 8 2 3" xfId="880"/>
    <cellStyle name="Normale 8 2 4" xfId="881"/>
    <cellStyle name="Normale 8 2 5" xfId="882"/>
    <cellStyle name="Normale 8 2 6" xfId="883"/>
    <cellStyle name="Normale 8 3" xfId="884"/>
    <cellStyle name="Normale 8 3 2" xfId="885"/>
    <cellStyle name="Normale 8 3 3" xfId="886"/>
    <cellStyle name="Normale 8 3 4" xfId="887"/>
    <cellStyle name="Normale 8 3 5" xfId="888"/>
    <cellStyle name="Normale 8 3 6" xfId="889"/>
    <cellStyle name="Normale 8 4" xfId="890"/>
    <cellStyle name="Normale 8 5" xfId="891"/>
    <cellStyle name="Normale 8 6" xfId="892"/>
    <cellStyle name="Normale 8 7" xfId="893"/>
    <cellStyle name="Normale 8 8" xfId="894"/>
    <cellStyle name="Normale 9" xfId="895"/>
    <cellStyle name="Normale 9 2" xfId="896"/>
    <cellStyle name="Normale 9 2 2" xfId="897"/>
    <cellStyle name="Normale 9 2 3" xfId="898"/>
    <cellStyle name="Normale 9 2 4" xfId="899"/>
    <cellStyle name="Normale 9 2 5" xfId="900"/>
    <cellStyle name="Normale 9 2 6" xfId="901"/>
    <cellStyle name="Normale 9 3" xfId="902"/>
    <cellStyle name="Normale 9 3 2" xfId="903"/>
    <cellStyle name="Normale 9 3 3" xfId="904"/>
    <cellStyle name="Normale 9 3 4" xfId="905"/>
    <cellStyle name="Normale 9 3 5" xfId="906"/>
    <cellStyle name="Normale 9 3 6" xfId="907"/>
    <cellStyle name="Normale 9 4" xfId="908"/>
    <cellStyle name="Normale 9 5" xfId="909"/>
    <cellStyle name="Normale 9 6" xfId="910"/>
    <cellStyle name="Normale 9 7" xfId="911"/>
    <cellStyle name="Normale 9 8" xfId="912"/>
    <cellStyle name="Percentuale 2" xfId="913"/>
    <cellStyle name="Percentuale 3" xfId="914"/>
    <cellStyle name="Percentuale 4" xfId="915"/>
    <cellStyle name="Percentuale 5" xfId="916"/>
    <cellStyle name="Percentuale 6" xfId="917"/>
    <cellStyle name="Valuta 10" xfId="918"/>
    <cellStyle name="Valuta 10 2" xfId="919"/>
    <cellStyle name="Valuta 10 2 2" xfId="920"/>
    <cellStyle name="Valuta 10 2 3" xfId="921"/>
    <cellStyle name="Valuta 10 2 4" xfId="922"/>
    <cellStyle name="Valuta 10 2 5" xfId="923"/>
    <cellStyle name="Valuta 10 2 6" xfId="924"/>
    <cellStyle name="Valuta 10 3" xfId="925"/>
    <cellStyle name="Valuta 10 3 2" xfId="926"/>
    <cellStyle name="Valuta 10 3 3" xfId="927"/>
    <cellStyle name="Valuta 10 3 4" xfId="928"/>
    <cellStyle name="Valuta 10 3 5" xfId="929"/>
    <cellStyle name="Valuta 10 3 6" xfId="930"/>
    <cellStyle name="Valuta 10 4" xfId="931"/>
    <cellStyle name="Valuta 10 5" xfId="932"/>
    <cellStyle name="Valuta 10 6" xfId="933"/>
    <cellStyle name="Valuta 10 7" xfId="934"/>
    <cellStyle name="Valuta 10 8" xfId="935"/>
    <cellStyle name="Valuta 11" xfId="936"/>
    <cellStyle name="Valuta 12" xfId="937"/>
    <cellStyle name="Valuta 13" xfId="938"/>
    <cellStyle name="Valuta 14" xfId="939"/>
    <cellStyle name="Valuta 15" xfId="940"/>
    <cellStyle name="Valuta 16" xfId="941"/>
    <cellStyle name="Valuta 17" xfId="942"/>
    <cellStyle name="Valuta 18" xfId="943"/>
    <cellStyle name="Valuta 19" xfId="944"/>
    <cellStyle name="Valuta 2" xfId="945"/>
    <cellStyle name="Valuta 20" xfId="946"/>
    <cellStyle name="Valuta 21" xfId="947"/>
    <cellStyle name="Valuta 22" xfId="948"/>
    <cellStyle name="Valuta 23" xfId="949"/>
    <cellStyle name="Valuta 24" xfId="950"/>
    <cellStyle name="Valuta 25" xfId="951"/>
    <cellStyle name="Valuta 26" xfId="952"/>
    <cellStyle name="Valuta 27" xfId="953"/>
    <cellStyle name="Valuta 28" xfId="954"/>
    <cellStyle name="Valuta 29" xfId="955"/>
    <cellStyle name="Valuta 3" xfId="956"/>
    <cellStyle name="Valuta 30" xfId="957"/>
    <cellStyle name="Valuta 31" xfId="958"/>
    <cellStyle name="Valuta 32" xfId="959"/>
    <cellStyle name="Valuta 33" xfId="960"/>
    <cellStyle name="Valuta 34" xfId="961"/>
    <cellStyle name="Valuta 35" xfId="962"/>
    <cellStyle name="Valuta 36" xfId="963"/>
    <cellStyle name="Valuta 37" xfId="964"/>
    <cellStyle name="Valuta 38" xfId="965"/>
    <cellStyle name="Valuta 39" xfId="966"/>
    <cellStyle name="Valuta 4" xfId="967"/>
    <cellStyle name="Valuta 40" xfId="968"/>
    <cellStyle name="Valuta 41" xfId="969"/>
    <cellStyle name="Valuta 42" xfId="970"/>
    <cellStyle name="Valuta 43" xfId="971"/>
    <cellStyle name="Valuta 44" xfId="972"/>
    <cellStyle name="Valuta 45" xfId="973"/>
    <cellStyle name="Valuta 46" xfId="974"/>
    <cellStyle name="Valuta 47" xfId="975"/>
    <cellStyle name="Valuta 48" xfId="976"/>
    <cellStyle name="Valuta 5" xfId="977"/>
    <cellStyle name="Valuta 6" xfId="978"/>
    <cellStyle name="Valuta 7" xfId="979"/>
    <cellStyle name="Valuta 8" xfId="980"/>
    <cellStyle name="Valuta 9" xfId="981"/>
    <cellStyle name="Excel Built-in Normal 2" xfId="982"/>
    <cellStyle name="Excel_BuiltIn_20% - Colore 1 1" xfId="98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5</xdr:row>
      <xdr:rowOff>47625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80975" y="190500"/>
          <a:ext cx="6667500" cy="733425"/>
        </a:xfrm>
        <a:prstGeom prst="rect">
          <a:avLst/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Commissario Delegato per la Ricostruzione
                        Presidente della Regione Abruzzo</a:t>
          </a:r>
        </a:p>
      </xdr:txBody>
    </xdr:sp>
    <xdr:clientData/>
  </xdr:twoCellAnchor>
  <xdr:twoCellAnchor>
    <xdr:from>
      <xdr:col>1</xdr:col>
      <xdr:colOff>95250</xdr:colOff>
      <xdr:row>1</xdr:row>
      <xdr:rowOff>66675</xdr:rowOff>
    </xdr:from>
    <xdr:to>
      <xdr:col>1</xdr:col>
      <xdr:colOff>762000</xdr:colOff>
      <xdr:row>4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6667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01_IN%20ATTESA\12.I.130_COMUNE_CAMPOTOSTO_PdR\Scheda%20BASE%20v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DI RIEPILOGO"/>
      <sheetName val="QUADRO DI RIEPILOGO GEN"/>
      <sheetName val="copertina QTE RICOSTRUZIONE"/>
      <sheetName val="SINTESI RETI _RICOSTRUZ"/>
      <sheetName val="SINTESI RETI _RICOSTRUZ EXT"/>
      <sheetName val="RETI_RICOSTR"/>
      <sheetName val="RETI_RICOSTR EXT"/>
      <sheetName val="pavimen_RICOSTR"/>
      <sheetName val="pavimen_RICOSTR EXT"/>
      <sheetName val="EDILIZIA PUBBLICA E PER I CULTO"/>
      <sheetName val="DATI"/>
      <sheetName val="BASE aggregati (2)"/>
      <sheetName val="EDILIZIA PRIVATA (3)"/>
      <sheetName val="EDIL_PRIVATA_totale"/>
      <sheetName val="copertina schede"/>
      <sheetName val="CC4"/>
      <sheetName val="CC6"/>
      <sheetName val="CC7"/>
      <sheetName val="CC10"/>
      <sheetName val="CC12"/>
      <sheetName val="CC13"/>
      <sheetName val="CC15"/>
      <sheetName val="CC17"/>
      <sheetName val="CC19"/>
      <sheetName val="CC21"/>
      <sheetName val="CC23"/>
      <sheetName val="CC29"/>
      <sheetName val="CC33"/>
      <sheetName val="CC35"/>
      <sheetName val="CC37"/>
      <sheetName val="CC39"/>
      <sheetName val="CC44"/>
      <sheetName val="CC48"/>
      <sheetName val="CC50"/>
      <sheetName val="CC52"/>
      <sheetName val="CC53"/>
      <sheetName val="DPC289"/>
      <sheetName val="DPC293"/>
      <sheetName val="DPC301"/>
      <sheetName val="DPC313"/>
      <sheetName val="DPC440-1"/>
      <sheetName val="DPC440-2"/>
      <sheetName val="DPC583"/>
      <sheetName val="DPC863"/>
      <sheetName val="DPC865"/>
      <sheetName val="DPC878"/>
      <sheetName val="crono"/>
      <sheetName val="copertina QTE sviluppo"/>
      <sheetName val="SINTESI RETI_SVILUPPO"/>
      <sheetName val="SINTESI RETI_SVILUPPO EXT"/>
      <sheetName val="RETI_SVILUPPO"/>
      <sheetName val="RETI_SVILUPPO EXT"/>
      <sheetName val="pavimen_SVILUPPO"/>
      <sheetName val="pavimen_SVILUPPO EXT"/>
      <sheetName val="ESEMPLIFICAZIONE DEI COSTI"/>
      <sheetName val="EDILIZIA PUBBLICA RESIDENZIALE"/>
    </sheetNames>
    <sheetDataSet>
      <sheetData sheetId="10">
        <row r="4">
          <cell r="E4">
            <v>225.86</v>
          </cell>
        </row>
        <row r="5">
          <cell r="E5">
            <v>21.36</v>
          </cell>
        </row>
        <row r="7">
          <cell r="E7">
            <v>1276.64</v>
          </cell>
        </row>
        <row r="8">
          <cell r="E8">
            <v>2127.67</v>
          </cell>
        </row>
        <row r="9">
          <cell r="E9">
            <v>2553.28</v>
          </cell>
        </row>
        <row r="15">
          <cell r="E15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30"/>
  <sheetViews>
    <sheetView zoomScale="75" zoomScaleNormal="75" zoomScaleSheetLayoutView="70" workbookViewId="0" topLeftCell="A7">
      <selection activeCell="I16" sqref="I16"/>
    </sheetView>
  </sheetViews>
  <sheetFormatPr defaultColWidth="9.140625" defaultRowHeight="12.75"/>
  <cols>
    <col min="1" max="1" width="2.7109375" style="1" customWidth="1"/>
    <col min="2" max="2" width="43.140625" style="1" customWidth="1"/>
    <col min="3" max="3" width="18.7109375" style="1" customWidth="1"/>
    <col min="4" max="4" width="4.28125" style="1" customWidth="1"/>
    <col min="5" max="5" width="27.28125" style="1" customWidth="1"/>
    <col min="6" max="6" width="6.57421875" style="1" customWidth="1"/>
    <col min="7" max="7" width="2.8515625" style="1" customWidth="1"/>
    <col min="8" max="16384" width="8.8515625" style="1" customWidth="1"/>
  </cols>
  <sheetData>
    <row r="7" spans="2:6" ht="12.75">
      <c r="B7" s="2" t="s">
        <v>0</v>
      </c>
      <c r="C7" s="2"/>
      <c r="D7" s="2"/>
      <c r="E7" s="2"/>
      <c r="F7" s="2"/>
    </row>
    <row r="8" spans="2:10" ht="12.75">
      <c r="B8" s="3" t="s">
        <v>1</v>
      </c>
      <c r="C8" s="3"/>
      <c r="D8" s="3"/>
      <c r="E8" s="3"/>
      <c r="F8" s="3"/>
      <c r="J8" s="1" t="s">
        <v>2</v>
      </c>
    </row>
    <row r="9" spans="2:6" ht="12.75">
      <c r="B9" s="4" t="s">
        <v>3</v>
      </c>
      <c r="C9" s="4"/>
      <c r="D9" s="4"/>
      <c r="E9" s="4"/>
      <c r="F9" s="4"/>
    </row>
    <row r="10" spans="2:6" ht="12.75">
      <c r="B10" s="5"/>
      <c r="C10" s="5"/>
      <c r="D10" s="5"/>
      <c r="E10" s="6"/>
      <c r="F10" s="6"/>
    </row>
    <row r="11" spans="2:6" ht="39.75" customHeight="1">
      <c r="B11" s="7" t="s">
        <v>4</v>
      </c>
      <c r="C11" s="7"/>
      <c r="D11" s="7"/>
      <c r="E11" s="7"/>
      <c r="F11" s="7"/>
    </row>
    <row r="12" spans="2:6" s="8" customFormat="1" ht="15.75" customHeight="1">
      <c r="B12" s="9" t="s">
        <v>5</v>
      </c>
      <c r="C12" s="10" t="s">
        <v>6</v>
      </c>
      <c r="D12" s="10"/>
      <c r="E12" s="10"/>
      <c r="F12" s="10"/>
    </row>
    <row r="13" spans="2:6" ht="15" customHeight="1">
      <c r="B13" s="11" t="s">
        <v>7</v>
      </c>
      <c r="C13" s="12"/>
      <c r="D13" s="12"/>
      <c r="E13" s="13" t="e">
        <f>#REF!</f>
        <v>#REF!</v>
      </c>
      <c r="F13" s="14" t="s">
        <v>8</v>
      </c>
    </row>
    <row r="14" spans="2:6" ht="15" customHeight="1">
      <c r="B14" s="11"/>
      <c r="C14" s="12"/>
      <c r="D14" s="12"/>
      <c r="E14" s="13"/>
      <c r="F14" s="14"/>
    </row>
    <row r="15" spans="2:6" ht="15.75" customHeight="1">
      <c r="B15" s="11"/>
      <c r="C15" s="12"/>
      <c r="D15" s="12"/>
      <c r="E15" s="13"/>
      <c r="F15" s="14"/>
    </row>
    <row r="16" spans="2:6" ht="45.75" customHeight="1">
      <c r="B16" s="15" t="s">
        <v>9</v>
      </c>
      <c r="C16" s="16"/>
      <c r="D16" s="16"/>
      <c r="E16" s="17" t="e">
        <f>#REF!</f>
        <v>#REF!</v>
      </c>
      <c r="F16" s="18" t="s">
        <v>8</v>
      </c>
    </row>
    <row r="17" spans="2:6" ht="42" customHeight="1">
      <c r="B17" s="19" t="s">
        <v>10</v>
      </c>
      <c r="C17" s="20"/>
      <c r="D17" s="20"/>
      <c r="E17" s="21" t="e">
        <f>#REF!</f>
        <v>#REF!</v>
      </c>
      <c r="F17" s="18" t="s">
        <v>8</v>
      </c>
    </row>
    <row r="18" spans="2:6" ht="13.5" customHeight="1">
      <c r="B18" s="22" t="s">
        <v>11</v>
      </c>
      <c r="C18" s="23"/>
      <c r="D18" s="24"/>
      <c r="E18" s="25"/>
      <c r="F18" s="26"/>
    </row>
    <row r="19" spans="2:6" ht="15" customHeight="1">
      <c r="B19" s="27" t="s">
        <v>12</v>
      </c>
      <c r="C19" s="28" t="e">
        <f>#REF!</f>
        <v>#REF!</v>
      </c>
      <c r="D19" s="29" t="s">
        <v>8</v>
      </c>
      <c r="E19" s="30"/>
      <c r="F19" s="31"/>
    </row>
    <row r="20" spans="2:6" ht="15" customHeight="1">
      <c r="B20" s="32" t="s">
        <v>13</v>
      </c>
      <c r="C20" s="33" t="e">
        <f>#REF!</f>
        <v>#REF!</v>
      </c>
      <c r="D20" s="34" t="s">
        <v>8</v>
      </c>
      <c r="E20" s="35"/>
      <c r="F20" s="36"/>
    </row>
    <row r="21" spans="2:6" ht="15" customHeight="1">
      <c r="B21" s="32" t="s">
        <v>14</v>
      </c>
      <c r="C21" s="37" t="e">
        <f>#REF!</f>
        <v>#REF!</v>
      </c>
      <c r="D21" s="34" t="s">
        <v>8</v>
      </c>
      <c r="E21" s="37"/>
      <c r="F21" s="36"/>
    </row>
    <row r="22" spans="2:6" ht="37.5" customHeight="1">
      <c r="B22" s="38" t="s">
        <v>15</v>
      </c>
      <c r="C22" s="20"/>
      <c r="D22" s="20"/>
      <c r="E22" s="21" t="e">
        <f>#REF!</f>
        <v>#REF!</v>
      </c>
      <c r="F22" s="18" t="s">
        <v>8</v>
      </c>
    </row>
    <row r="23" spans="2:6" ht="12.75" customHeight="1">
      <c r="B23" s="39" t="s">
        <v>11</v>
      </c>
      <c r="C23" s="40"/>
      <c r="D23" s="41"/>
      <c r="E23" s="42"/>
      <c r="F23" s="26"/>
    </row>
    <row r="24" spans="2:6" ht="15" customHeight="1">
      <c r="B24" s="43" t="s">
        <v>16</v>
      </c>
      <c r="C24" s="44" t="e">
        <f>#REF!</f>
        <v>#REF!</v>
      </c>
      <c r="D24" s="45" t="s">
        <v>8</v>
      </c>
      <c r="E24" s="46"/>
      <c r="F24" s="47"/>
    </row>
    <row r="25" spans="2:6" ht="15" customHeight="1">
      <c r="B25" s="48" t="s">
        <v>17</v>
      </c>
      <c r="C25" s="49" t="e">
        <f>#REF!</f>
        <v>#REF!</v>
      </c>
      <c r="D25" s="50" t="s">
        <v>8</v>
      </c>
      <c r="E25" s="51"/>
      <c r="F25" s="52"/>
    </row>
    <row r="26" spans="2:6" ht="15" customHeight="1">
      <c r="B26" s="53" t="s">
        <v>18</v>
      </c>
      <c r="C26" s="23" t="e">
        <f>#REF!</f>
        <v>#REF!</v>
      </c>
      <c r="D26" s="54" t="s">
        <v>8</v>
      </c>
      <c r="E26" s="55"/>
      <c r="F26" s="56"/>
    </row>
    <row r="27" spans="2:6" ht="33.75" customHeight="1">
      <c r="B27" s="57" t="s">
        <v>19</v>
      </c>
      <c r="C27" s="57"/>
      <c r="D27" s="57"/>
      <c r="E27" s="58" t="e">
        <f>E22+E17+E13</f>
        <v>#REF!</v>
      </c>
      <c r="F27" s="59" t="s">
        <v>8</v>
      </c>
    </row>
    <row r="28" ht="12.75">
      <c r="C28" s="60"/>
    </row>
    <row r="30" spans="2:3" ht="12.75">
      <c r="B30" s="61"/>
      <c r="C30" s="61"/>
    </row>
  </sheetData>
  <sheetProtection selectLockedCells="1" selectUnlockedCells="1"/>
  <mergeCells count="14">
    <mergeCell ref="B7:F7"/>
    <mergeCell ref="B8:F8"/>
    <mergeCell ref="B9:F9"/>
    <mergeCell ref="B10:D10"/>
    <mergeCell ref="B11:F11"/>
    <mergeCell ref="C12:F12"/>
    <mergeCell ref="B13:B15"/>
    <mergeCell ref="C13:D15"/>
    <mergeCell ref="E13:E15"/>
    <mergeCell ref="F13:F15"/>
    <mergeCell ref="C16:D16"/>
    <mergeCell ref="C17:D17"/>
    <mergeCell ref="C22:D22"/>
    <mergeCell ref="B27:D27"/>
  </mergeCells>
  <printOptions/>
  <pageMargins left="0.6298611111111111" right="0.3541666666666667" top="1.0631944444444446" bottom="0.6694444444444444" header="0.5118055555555555" footer="0.5118055555555555"/>
  <pageSetup horizontalDpi="300" verticalDpi="300" orientation="portrait" paperSize="9" scale="8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BF59"/>
  <sheetViews>
    <sheetView tabSelected="1" zoomScale="75" zoomScaleNormal="75" zoomScaleSheetLayoutView="70" workbookViewId="0" topLeftCell="AE26">
      <selection activeCell="AN27" sqref="AN27"/>
    </sheetView>
  </sheetViews>
  <sheetFormatPr defaultColWidth="9.140625" defaultRowHeight="12.75"/>
  <cols>
    <col min="1" max="2" width="1.421875" style="68" customWidth="1"/>
    <col min="3" max="3" width="12.28125" style="68" customWidth="1"/>
    <col min="4" max="4" width="7.7109375" style="68" customWidth="1"/>
    <col min="5" max="5" width="12.421875" style="68" customWidth="1"/>
    <col min="6" max="6" width="12.140625" style="68" customWidth="1"/>
    <col min="7" max="7" width="9.28125" style="68" customWidth="1"/>
    <col min="8" max="8" width="15.28125" style="68" customWidth="1"/>
    <col min="9" max="9" width="12.7109375" style="68" customWidth="1"/>
    <col min="10" max="10" width="11.00390625" style="68" customWidth="1"/>
    <col min="11" max="11" width="12.140625" style="68" customWidth="1"/>
    <col min="12" max="17" width="8.8515625" style="68" customWidth="1"/>
    <col min="18" max="18" width="8.8515625" style="70" customWidth="1"/>
    <col min="19" max="19" width="8.8515625" style="68" customWidth="1"/>
    <col min="20" max="20" width="13.8515625" style="68" customWidth="1"/>
    <col min="21" max="21" width="8.8515625" style="68" customWidth="1"/>
    <col min="22" max="22" width="13.8515625" style="302" customWidth="1"/>
    <col min="23" max="23" width="8.8515625" style="68" customWidth="1"/>
    <col min="24" max="24" width="13.8515625" style="68" customWidth="1"/>
    <col min="25" max="25" width="8.8515625" style="70" customWidth="1"/>
    <col min="26" max="26" width="8.8515625" style="68" customWidth="1"/>
    <col min="27" max="27" width="13.8515625" style="68" customWidth="1"/>
    <col min="28" max="28" width="8.8515625" style="68" customWidth="1"/>
    <col min="29" max="29" width="13.8515625" style="68" customWidth="1"/>
    <col min="30" max="30" width="8.8515625" style="68" customWidth="1"/>
    <col min="31" max="31" width="13.8515625" style="68" customWidth="1"/>
    <col min="32" max="32" width="8.8515625" style="70" customWidth="1"/>
    <col min="33" max="33" width="11.8515625" style="68" customWidth="1"/>
    <col min="34" max="34" width="13.8515625" style="68" customWidth="1"/>
    <col min="35" max="35" width="8.8515625" style="68" customWidth="1"/>
    <col min="36" max="36" width="13.8515625" style="68" customWidth="1"/>
    <col min="37" max="37" width="8.8515625" style="68" customWidth="1"/>
    <col min="38" max="38" width="13.8515625" style="68" customWidth="1"/>
    <col min="39" max="39" width="1.1484375" style="68" customWidth="1"/>
    <col min="40" max="40" width="18.28125" style="302" customWidth="1"/>
    <col min="41" max="41" width="1.1484375" style="68" customWidth="1"/>
    <col min="42" max="42" width="18.00390625" style="302" customWidth="1"/>
    <col min="43" max="43" width="1.1484375" style="68" customWidth="1"/>
    <col min="44" max="44" width="15.421875" style="303" customWidth="1"/>
    <col min="45" max="228" width="8.8515625" style="68" customWidth="1"/>
  </cols>
  <sheetData>
    <row r="1" spans="3:38" ht="28.5" customHeight="1">
      <c r="C1" s="151"/>
      <c r="D1" s="151"/>
      <c r="E1" s="200" t="s">
        <v>85</v>
      </c>
      <c r="F1" s="201" t="s">
        <v>86</v>
      </c>
      <c r="G1" s="201"/>
      <c r="H1" s="201"/>
      <c r="I1" s="202" t="s">
        <v>87</v>
      </c>
      <c r="J1" s="202"/>
      <c r="N1" s="203" t="s">
        <v>85</v>
      </c>
      <c r="O1" s="203"/>
      <c r="P1" s="203" t="s">
        <v>88</v>
      </c>
      <c r="Q1" s="203"/>
      <c r="S1" s="204" t="s">
        <v>146</v>
      </c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3:58" ht="75" customHeight="1">
      <c r="C2" s="151"/>
      <c r="D2" s="151"/>
      <c r="E2" s="219"/>
      <c r="F2" s="219"/>
      <c r="G2" s="219"/>
      <c r="H2" s="219"/>
      <c r="I2" s="219"/>
      <c r="J2" s="219"/>
      <c r="K2" s="219"/>
      <c r="N2" s="220"/>
      <c r="O2" s="220"/>
      <c r="P2" s="221"/>
      <c r="Q2" s="221"/>
      <c r="S2" s="220" t="s">
        <v>111</v>
      </c>
      <c r="T2" s="220"/>
      <c r="U2" s="220" t="s">
        <v>112</v>
      </c>
      <c r="V2" s="304"/>
      <c r="W2" s="220" t="s">
        <v>110</v>
      </c>
      <c r="X2" s="220"/>
      <c r="Z2" s="220" t="s">
        <v>113</v>
      </c>
      <c r="AA2" s="220"/>
      <c r="AB2" s="220" t="s">
        <v>114</v>
      </c>
      <c r="AC2" s="220"/>
      <c r="AD2" s="220" t="s">
        <v>115</v>
      </c>
      <c r="AE2" s="220"/>
      <c r="AG2" s="220" t="s">
        <v>116</v>
      </c>
      <c r="AH2" s="220"/>
      <c r="AI2" s="220" t="s">
        <v>117</v>
      </c>
      <c r="AJ2" s="220"/>
      <c r="AK2" s="220" t="s">
        <v>118</v>
      </c>
      <c r="AN2" s="305" t="s">
        <v>147</v>
      </c>
      <c r="AO2"/>
      <c r="AP2" s="306" t="s">
        <v>148</v>
      </c>
      <c r="AQ2"/>
      <c r="AR2" s="307" t="s">
        <v>149</v>
      </c>
      <c r="AS2"/>
      <c r="AT2"/>
      <c r="AU2"/>
      <c r="AV2"/>
      <c r="AW2"/>
      <c r="AX2"/>
      <c r="AY2"/>
      <c r="AZ2" s="68" t="s">
        <v>119</v>
      </c>
      <c r="BA2" s="68" t="s">
        <v>120</v>
      </c>
      <c r="BB2" s="68" t="s">
        <v>121</v>
      </c>
      <c r="BC2" s="68" t="s">
        <v>122</v>
      </c>
      <c r="BD2" s="68" t="s">
        <v>123</v>
      </c>
      <c r="BF2" s="222" t="s">
        <v>124</v>
      </c>
    </row>
    <row r="3" spans="3:44" ht="19.5" customHeight="1">
      <c r="C3" s="151"/>
      <c r="D3" s="151"/>
      <c r="E3" s="241"/>
      <c r="F3" s="241"/>
      <c r="G3" s="241"/>
      <c r="H3" s="241"/>
      <c r="I3" s="241"/>
      <c r="J3" s="241"/>
      <c r="K3" s="241"/>
      <c r="N3" s="242"/>
      <c r="O3" s="242"/>
      <c r="P3" s="243"/>
      <c r="Q3" s="243"/>
      <c r="R3" s="70" t="s">
        <v>34</v>
      </c>
      <c r="S3" s="242"/>
      <c r="T3" s="308"/>
      <c r="U3" s="242">
        <f>OC_01!AX41</f>
        <v>125.17647058823529</v>
      </c>
      <c r="V3" s="309">
        <f>OC_01!AY41</f>
        <v>184689.1694224925</v>
      </c>
      <c r="W3" s="242">
        <f>OC_01!AZ41</f>
        <v>60.82352941176471</v>
      </c>
      <c r="X3" s="308">
        <f>OC_01!BA41</f>
        <v>55505.787341213094</v>
      </c>
      <c r="Y3" s="70" t="s">
        <v>34</v>
      </c>
      <c r="Z3" s="242"/>
      <c r="AA3" s="308"/>
      <c r="AB3" s="242"/>
      <c r="AC3" s="308"/>
      <c r="AD3" s="242"/>
      <c r="AE3" s="308"/>
      <c r="AF3" s="70" t="s">
        <v>34</v>
      </c>
      <c r="AG3" s="242">
        <f>OC_01!BJ41</f>
        <v>112</v>
      </c>
      <c r="AH3" s="308">
        <f>OC_01!BK41</f>
        <v>29546.11142144</v>
      </c>
      <c r="AI3" s="242">
        <f>OC_01!BL41</f>
        <v>114</v>
      </c>
      <c r="AJ3" s="308">
        <f>OC_01!BM41</f>
        <v>17100.2721123</v>
      </c>
      <c r="AK3" s="242">
        <f>OC_01!BN41</f>
        <v>70</v>
      </c>
      <c r="AL3" s="308">
        <f>OC_01!BO27</f>
        <v>10500.175067200002</v>
      </c>
      <c r="AN3" s="302">
        <f>T3+V3+X3+AA3++AC3+AE3+AH3+AJ3+AL3</f>
        <v>297341.5153646456</v>
      </c>
      <c r="AO3" s="245"/>
      <c r="AP3" s="302">
        <f>OC_01!AB26</f>
        <v>297341.5283617856</v>
      </c>
      <c r="AQ3" s="245"/>
      <c r="AR3" s="303">
        <f>AN3-AP3</f>
        <v>-0.012997140001971275</v>
      </c>
    </row>
    <row r="4" spans="3:44" ht="19.5" customHeight="1">
      <c r="C4" s="151"/>
      <c r="D4" s="151"/>
      <c r="E4" s="241"/>
      <c r="F4" s="241"/>
      <c r="G4" s="241"/>
      <c r="H4" s="241"/>
      <c r="I4" s="241"/>
      <c r="J4" s="241"/>
      <c r="K4" s="241"/>
      <c r="N4" s="242"/>
      <c r="O4" s="242"/>
      <c r="P4" s="243"/>
      <c r="Q4" s="243"/>
      <c r="S4" s="242"/>
      <c r="T4" s="308"/>
      <c r="U4" s="242">
        <f>OC_01!AX42</f>
        <v>2</v>
      </c>
      <c r="V4" s="309"/>
      <c r="W4" s="242">
        <f>OC_01!AZ42</f>
        <v>1</v>
      </c>
      <c r="X4" s="308"/>
      <c r="Z4" s="242"/>
      <c r="AA4" s="308"/>
      <c r="AB4" s="242"/>
      <c r="AC4" s="308"/>
      <c r="AD4" s="242"/>
      <c r="AE4" s="308"/>
      <c r="AG4" s="242">
        <f>OC_01!BJ42</f>
        <v>1</v>
      </c>
      <c r="AH4" s="308"/>
      <c r="AI4" s="242">
        <f>OC_01!BL42</f>
        <v>2</v>
      </c>
      <c r="AJ4" s="308"/>
      <c r="AK4" s="242">
        <f>OC_01!BN42</f>
        <v>1</v>
      </c>
      <c r="AL4" s="308"/>
      <c r="AO4" s="245"/>
      <c r="AQ4" s="245"/>
      <c r="AR4" s="303">
        <f>AN4-AP4</f>
        <v>0</v>
      </c>
    </row>
    <row r="5" spans="3:44" ht="19.5" customHeight="1">
      <c r="C5" s="151"/>
      <c r="D5" s="151"/>
      <c r="E5" s="241"/>
      <c r="F5" s="241"/>
      <c r="G5" s="241"/>
      <c r="H5" s="241"/>
      <c r="I5" s="241"/>
      <c r="J5" s="241"/>
      <c r="K5" s="241"/>
      <c r="N5" s="242"/>
      <c r="O5" s="242"/>
      <c r="P5" s="243"/>
      <c r="Q5" s="243"/>
      <c r="R5" s="70" t="s">
        <v>132</v>
      </c>
      <c r="S5" s="242">
        <f>OC_02!AV41</f>
        <v>0</v>
      </c>
      <c r="T5" s="308">
        <f>OC_02!AW41</f>
        <v>0</v>
      </c>
      <c r="U5" s="242">
        <f>OC_02!AX41</f>
        <v>448.6</v>
      </c>
      <c r="V5" s="309">
        <f>OC_02!AY41</f>
        <v>656129.0522722208</v>
      </c>
      <c r="W5" s="242">
        <f>OC_02!AZ41</f>
        <v>55</v>
      </c>
      <c r="X5" s="308">
        <f>OC_02!BA27</f>
        <v>48588.372298224</v>
      </c>
      <c r="Y5" s="70" t="s">
        <v>132</v>
      </c>
      <c r="Z5" s="242"/>
      <c r="AA5" s="308"/>
      <c r="AB5" s="242"/>
      <c r="AC5" s="308"/>
      <c r="AD5" s="242"/>
      <c r="AE5" s="308"/>
      <c r="AF5" s="70" t="s">
        <v>132</v>
      </c>
      <c r="AG5" s="242">
        <f>OC_02!BJ41</f>
        <v>0</v>
      </c>
      <c r="AH5" s="308">
        <f>OC_02!BK41</f>
        <v>0</v>
      </c>
      <c r="AI5" s="242">
        <f>OC_02!BL41</f>
        <v>0</v>
      </c>
      <c r="AJ5" s="308">
        <f>OC_02!BM41</f>
        <v>0</v>
      </c>
      <c r="AK5" s="242"/>
      <c r="AL5" s="308"/>
      <c r="AN5" s="302">
        <f>T5+V5+X5+AA5++AC5+AE5+AH5+AJ5+AL5</f>
        <v>704717.4245704449</v>
      </c>
      <c r="AO5" s="245"/>
      <c r="AP5" s="302">
        <f>OC_02!AB26</f>
        <v>704717.4245704447</v>
      </c>
      <c r="AQ5" s="245"/>
      <c r="AR5" s="303">
        <f>AN5-AP5</f>
        <v>0</v>
      </c>
    </row>
    <row r="6" spans="3:44" ht="19.5" customHeight="1">
      <c r="C6" s="151"/>
      <c r="D6" s="151"/>
      <c r="E6" s="241"/>
      <c r="F6" s="241"/>
      <c r="G6" s="241"/>
      <c r="H6" s="241"/>
      <c r="I6" s="241"/>
      <c r="J6" s="241"/>
      <c r="K6" s="241"/>
      <c r="N6" s="242"/>
      <c r="O6" s="242"/>
      <c r="P6" s="243"/>
      <c r="Q6" s="243"/>
      <c r="S6" s="242">
        <f>OC_02!AV42</f>
        <v>0</v>
      </c>
      <c r="T6" s="308"/>
      <c r="U6" s="242">
        <f>OC_02!AX42</f>
        <v>4</v>
      </c>
      <c r="V6" s="309"/>
      <c r="W6" s="242">
        <f>OC_02!AZ42</f>
        <v>1</v>
      </c>
      <c r="X6" s="308"/>
      <c r="Z6" s="242"/>
      <c r="AA6" s="308"/>
      <c r="AB6" s="242"/>
      <c r="AC6" s="308"/>
      <c r="AD6" s="242"/>
      <c r="AE6" s="308"/>
      <c r="AG6" s="242">
        <f>OC_02!BJ42</f>
        <v>0</v>
      </c>
      <c r="AH6" s="308"/>
      <c r="AI6" s="242">
        <f>OC_02!BL42</f>
        <v>0</v>
      </c>
      <c r="AJ6" s="308"/>
      <c r="AK6" s="242"/>
      <c r="AL6" s="308"/>
      <c r="AO6" s="245"/>
      <c r="AQ6" s="245"/>
      <c r="AR6" s="303">
        <f>AN6-AP6</f>
        <v>0</v>
      </c>
    </row>
    <row r="7" spans="3:44" ht="19.5" customHeight="1">
      <c r="C7" s="151"/>
      <c r="D7" s="151"/>
      <c r="E7" s="241"/>
      <c r="F7" s="241"/>
      <c r="G7" s="241"/>
      <c r="H7" s="241"/>
      <c r="I7" s="241"/>
      <c r="J7" s="241"/>
      <c r="K7" s="241"/>
      <c r="N7" s="242"/>
      <c r="O7" s="242"/>
      <c r="P7" s="243"/>
      <c r="Q7" s="243"/>
      <c r="R7" s="70" t="s">
        <v>137</v>
      </c>
      <c r="S7" s="242"/>
      <c r="T7" s="308"/>
      <c r="U7" s="242">
        <f>OC_03!AX41</f>
        <v>297</v>
      </c>
      <c r="V7" s="309">
        <f>OC_03!AY41</f>
        <v>436148.55068401597</v>
      </c>
      <c r="W7" s="242"/>
      <c r="X7" s="308"/>
      <c r="Y7" s="70" t="s">
        <v>137</v>
      </c>
      <c r="Z7" s="242"/>
      <c r="AA7" s="308"/>
      <c r="AB7" s="242"/>
      <c r="AC7" s="308"/>
      <c r="AD7" s="242"/>
      <c r="AE7" s="308"/>
      <c r="AF7" s="70" t="s">
        <v>137</v>
      </c>
      <c r="AG7" s="242">
        <f>OC_03!BJ41</f>
        <v>298.8</v>
      </c>
      <c r="AH7" s="308">
        <f>OC_03!BK41</f>
        <v>57566.578600768</v>
      </c>
      <c r="AI7" s="242">
        <f>OC_03!BL41</f>
        <v>150.8</v>
      </c>
      <c r="AJ7" s="308">
        <f>OC_03!BM41</f>
        <v>22620.377144768005</v>
      </c>
      <c r="AK7" s="242"/>
      <c r="AL7" s="308"/>
      <c r="AN7" s="302">
        <f>T7+V7+X7+AA7++AC7+AE7+AH7+AJ7+AL7</f>
        <v>516335.506429552</v>
      </c>
      <c r="AO7" s="245"/>
      <c r="AP7" s="302">
        <f>OC_03!AB26</f>
        <v>516335.506429552</v>
      </c>
      <c r="AQ7" s="245"/>
      <c r="AR7" s="303">
        <f>AN7-AP7</f>
        <v>0</v>
      </c>
    </row>
    <row r="8" spans="3:44" ht="19.5" customHeight="1">
      <c r="C8" s="151"/>
      <c r="D8" s="151"/>
      <c r="E8" s="241"/>
      <c r="F8" s="241"/>
      <c r="G8" s="241"/>
      <c r="H8" s="241"/>
      <c r="I8" s="241"/>
      <c r="J8" s="241"/>
      <c r="K8" s="241"/>
      <c r="N8" s="242"/>
      <c r="O8" s="242"/>
      <c r="P8" s="243"/>
      <c r="Q8" s="243"/>
      <c r="S8" s="242"/>
      <c r="T8" s="308"/>
      <c r="U8" s="242">
        <f>OC_03!AX42</f>
        <v>1</v>
      </c>
      <c r="V8" s="309"/>
      <c r="W8" s="242"/>
      <c r="X8" s="308"/>
      <c r="Z8" s="242"/>
      <c r="AA8" s="308"/>
      <c r="AB8" s="242"/>
      <c r="AC8" s="308"/>
      <c r="AD8" s="242"/>
      <c r="AE8" s="308"/>
      <c r="AG8" s="242">
        <f>OC_03!BJ42</f>
        <v>1</v>
      </c>
      <c r="AH8" s="308"/>
      <c r="AI8" s="242">
        <f>OC_03!BL42</f>
        <v>1</v>
      </c>
      <c r="AJ8" s="308"/>
      <c r="AK8" s="242"/>
      <c r="AL8" s="308"/>
      <c r="AO8" s="245"/>
      <c r="AQ8" s="245"/>
      <c r="AR8" s="303">
        <f>AN8-AP8</f>
        <v>0</v>
      </c>
    </row>
    <row r="9" spans="3:44" ht="19.5" customHeight="1">
      <c r="C9" s="151"/>
      <c r="D9" s="151"/>
      <c r="E9" s="241"/>
      <c r="F9" s="241"/>
      <c r="G9" s="241"/>
      <c r="H9" s="241"/>
      <c r="I9" s="241"/>
      <c r="J9" s="241"/>
      <c r="K9" s="241"/>
      <c r="N9" s="242"/>
      <c r="O9" s="242"/>
      <c r="P9" s="243"/>
      <c r="Q9" s="243"/>
      <c r="R9" s="70" t="s">
        <v>139</v>
      </c>
      <c r="S9" s="242">
        <f>OC_4!AV41</f>
        <v>450.4</v>
      </c>
      <c r="T9" s="308">
        <f>OC_4!AW41</f>
        <v>658761.7591248513</v>
      </c>
      <c r="U9" s="242">
        <f>OC_4!AX41</f>
        <v>0</v>
      </c>
      <c r="V9" s="309">
        <f>OC_4!AY41</f>
        <v>0</v>
      </c>
      <c r="W9" s="242"/>
      <c r="X9" s="308"/>
      <c r="Y9" s="70" t="s">
        <v>139</v>
      </c>
      <c r="Z9" s="242"/>
      <c r="AA9" s="308"/>
      <c r="AB9" s="242"/>
      <c r="AC9" s="308"/>
      <c r="AD9" s="242"/>
      <c r="AE9" s="308"/>
      <c r="AF9" s="70" t="s">
        <v>139</v>
      </c>
      <c r="AG9" s="242"/>
      <c r="AH9" s="308"/>
      <c r="AI9" s="242">
        <f>OC_4!BL41</f>
        <v>0</v>
      </c>
      <c r="AJ9" s="308">
        <f>OC_4!BM41</f>
        <v>0</v>
      </c>
      <c r="AK9" s="242"/>
      <c r="AL9" s="308"/>
      <c r="AN9" s="302">
        <f>T9+V9+X9+AA9++AC9+AE9+AH9+AJ9+AL9</f>
        <v>658761.7591248513</v>
      </c>
      <c r="AO9" s="245"/>
      <c r="AP9" s="302">
        <f>OC_4!AB26</f>
        <v>658761.7591248513</v>
      </c>
      <c r="AQ9" s="245"/>
      <c r="AR9" s="303">
        <f>AN9-AP9</f>
        <v>0</v>
      </c>
    </row>
    <row r="10" spans="3:44" ht="19.5" customHeight="1">
      <c r="C10" s="151"/>
      <c r="D10" s="151"/>
      <c r="E10" s="241"/>
      <c r="F10" s="241"/>
      <c r="G10" s="241"/>
      <c r="H10" s="241"/>
      <c r="I10" s="241"/>
      <c r="J10" s="241"/>
      <c r="K10" s="241"/>
      <c r="N10" s="242"/>
      <c r="O10" s="242"/>
      <c r="P10" s="243"/>
      <c r="Q10" s="243"/>
      <c r="S10" s="242">
        <f>OC_4!AV42</f>
        <v>2</v>
      </c>
      <c r="T10" s="308"/>
      <c r="U10" s="242">
        <f>OC_4!AX42</f>
        <v>0</v>
      </c>
      <c r="V10" s="309"/>
      <c r="W10" s="242"/>
      <c r="X10" s="308"/>
      <c r="Z10" s="242"/>
      <c r="AA10" s="308"/>
      <c r="AB10" s="242"/>
      <c r="AC10" s="308"/>
      <c r="AD10" s="242"/>
      <c r="AE10" s="308"/>
      <c r="AG10" s="242"/>
      <c r="AH10" s="308"/>
      <c r="AI10" s="242">
        <f>OC_4!BL42</f>
        <v>0</v>
      </c>
      <c r="AJ10" s="308"/>
      <c r="AK10" s="242"/>
      <c r="AL10" s="308"/>
      <c r="AO10" s="245"/>
      <c r="AQ10" s="245"/>
      <c r="AR10" s="303">
        <f>AN10-AP10</f>
        <v>0</v>
      </c>
    </row>
    <row r="11" spans="3:44" ht="19.5" customHeight="1">
      <c r="C11" s="151"/>
      <c r="D11" s="151"/>
      <c r="E11" s="241"/>
      <c r="F11" s="241"/>
      <c r="G11" s="241"/>
      <c r="H11" s="241"/>
      <c r="I11" s="241"/>
      <c r="J11" s="241"/>
      <c r="K11" s="241"/>
      <c r="N11" s="242"/>
      <c r="O11" s="242"/>
      <c r="P11" s="243"/>
      <c r="Q11" s="243"/>
      <c r="R11" s="70" t="s">
        <v>141</v>
      </c>
      <c r="S11" s="242"/>
      <c r="T11" s="308"/>
      <c r="U11" s="242">
        <f>OC_05!AX41</f>
        <v>0</v>
      </c>
      <c r="V11" s="309">
        <f>OC_05!AY41</f>
        <v>0</v>
      </c>
      <c r="W11" s="242">
        <f>OC_05!AZ41</f>
        <v>140</v>
      </c>
      <c r="X11" s="308">
        <f>OC_05!BA28</f>
        <v>127729.893122752</v>
      </c>
      <c r="Y11" s="70" t="s">
        <v>141</v>
      </c>
      <c r="Z11" s="242"/>
      <c r="AA11" s="308"/>
      <c r="AB11" s="242">
        <f>OC_05!BE41</f>
        <v>0</v>
      </c>
      <c r="AC11" s="308">
        <f>OC_05!BF41</f>
        <v>0</v>
      </c>
      <c r="AD11" s="242"/>
      <c r="AE11" s="308"/>
      <c r="AF11" s="70" t="s">
        <v>141</v>
      </c>
      <c r="AG11" s="242">
        <f>OC_05!BJ41</f>
        <v>359</v>
      </c>
      <c r="AH11" s="308">
        <f>OC_05!BK41</f>
        <v>79342.56047248</v>
      </c>
      <c r="AI11" s="242">
        <f>OC_05!BL41</f>
        <v>184.6</v>
      </c>
      <c r="AJ11" s="308">
        <f>OC_05!BM41</f>
        <v>27690.461677216</v>
      </c>
      <c r="AK11" s="242">
        <f>OC_05!BN41</f>
        <v>70</v>
      </c>
      <c r="AL11" s="308">
        <f>OC_05!BO29</f>
        <v>10500.175067200002</v>
      </c>
      <c r="AN11" s="302">
        <f>T11+V11+X11+AA11++AC11+AE11+AH11+AJ11+AL11</f>
        <v>245263.09033964798</v>
      </c>
      <c r="AO11" s="245"/>
      <c r="AP11" s="302">
        <f>OC_05!AB26</f>
        <v>245263.090339648</v>
      </c>
      <c r="AQ11" s="245"/>
      <c r="AR11" s="303">
        <f>AN11-AP11</f>
        <v>0</v>
      </c>
    </row>
    <row r="12" spans="3:44" ht="19.5" customHeight="1">
      <c r="C12" s="151"/>
      <c r="D12" s="151"/>
      <c r="E12" s="241"/>
      <c r="F12" s="241"/>
      <c r="G12" s="241"/>
      <c r="H12" s="241"/>
      <c r="I12" s="241"/>
      <c r="J12" s="241"/>
      <c r="K12" s="241"/>
      <c r="N12" s="242"/>
      <c r="O12" s="242"/>
      <c r="P12" s="243"/>
      <c r="Q12" s="243"/>
      <c r="S12" s="242"/>
      <c r="T12" s="308"/>
      <c r="U12" s="242">
        <f>OC_05!AX42</f>
        <v>0</v>
      </c>
      <c r="V12" s="309"/>
      <c r="W12" s="242">
        <f>OC_05!AZ42</f>
        <v>1</v>
      </c>
      <c r="X12" s="308"/>
      <c r="Z12" s="242"/>
      <c r="AA12" s="308"/>
      <c r="AB12" s="242">
        <f>OC_05!BE42</f>
        <v>0</v>
      </c>
      <c r="AC12" s="308"/>
      <c r="AD12" s="242"/>
      <c r="AE12" s="308"/>
      <c r="AG12" s="242">
        <f>OC_05!BJ42</f>
        <v>2</v>
      </c>
      <c r="AH12" s="308"/>
      <c r="AI12" s="242">
        <f>OC_05!BL42</f>
        <v>1</v>
      </c>
      <c r="AJ12" s="308"/>
      <c r="AK12" s="242">
        <f>OC_05!BN42</f>
        <v>1</v>
      </c>
      <c r="AL12" s="308"/>
      <c r="AO12" s="245"/>
      <c r="AQ12" s="245"/>
      <c r="AR12" s="303">
        <f>AN12-AP12</f>
        <v>0</v>
      </c>
    </row>
    <row r="13" spans="3:43" ht="19.5" customHeight="1">
      <c r="C13" s="151"/>
      <c r="D13" s="151"/>
      <c r="E13" s="241"/>
      <c r="F13" s="241"/>
      <c r="G13" s="241"/>
      <c r="H13" s="241"/>
      <c r="I13" s="241"/>
      <c r="J13" s="241"/>
      <c r="K13" s="241"/>
      <c r="N13" s="242"/>
      <c r="O13" s="242"/>
      <c r="P13" s="243"/>
      <c r="Q13" s="243"/>
      <c r="S13" s="242"/>
      <c r="T13" s="308"/>
      <c r="U13" s="242"/>
      <c r="V13" s="309"/>
      <c r="W13" s="242"/>
      <c r="X13" s="308"/>
      <c r="Z13" s="242"/>
      <c r="AA13" s="308"/>
      <c r="AB13" s="242"/>
      <c r="AC13" s="308"/>
      <c r="AD13" s="242"/>
      <c r="AE13" s="308"/>
      <c r="AG13" s="242"/>
      <c r="AH13" s="308"/>
      <c r="AI13" s="242"/>
      <c r="AJ13" s="308"/>
      <c r="AK13" s="242"/>
      <c r="AL13" s="308"/>
      <c r="AO13" s="245"/>
      <c r="AQ13" s="245"/>
    </row>
    <row r="14" spans="3:43" ht="19.5" customHeight="1">
      <c r="C14" s="151"/>
      <c r="D14" s="151"/>
      <c r="E14" s="241"/>
      <c r="F14" s="241"/>
      <c r="G14" s="241"/>
      <c r="H14" s="241"/>
      <c r="I14" s="241"/>
      <c r="J14" s="241"/>
      <c r="K14" s="241"/>
      <c r="N14" s="242"/>
      <c r="O14" s="242"/>
      <c r="P14" s="243"/>
      <c r="Q14" s="243"/>
      <c r="S14" s="242"/>
      <c r="T14" s="308"/>
      <c r="U14" s="242"/>
      <c r="V14" s="309"/>
      <c r="W14" s="242"/>
      <c r="X14" s="308"/>
      <c r="Z14" s="242"/>
      <c r="AA14" s="308"/>
      <c r="AB14" s="242"/>
      <c r="AC14" s="308"/>
      <c r="AD14" s="242"/>
      <c r="AE14" s="308"/>
      <c r="AG14" s="242"/>
      <c r="AH14" s="308"/>
      <c r="AI14" s="242"/>
      <c r="AJ14" s="308"/>
      <c r="AK14" s="242"/>
      <c r="AL14" s="308"/>
      <c r="AO14" s="245"/>
      <c r="AQ14" s="245"/>
    </row>
    <row r="15" spans="3:43" ht="19.5" customHeight="1">
      <c r="C15" s="151"/>
      <c r="D15" s="151"/>
      <c r="E15" s="241"/>
      <c r="F15" s="241"/>
      <c r="G15" s="241"/>
      <c r="H15" s="241"/>
      <c r="I15" s="241"/>
      <c r="J15" s="241"/>
      <c r="K15" s="241"/>
      <c r="N15" s="242"/>
      <c r="O15" s="242"/>
      <c r="P15" s="243"/>
      <c r="Q15" s="243"/>
      <c r="S15" s="242"/>
      <c r="T15" s="308"/>
      <c r="U15" s="242"/>
      <c r="V15" s="309"/>
      <c r="W15" s="242"/>
      <c r="X15" s="308"/>
      <c r="Z15" s="242"/>
      <c r="AA15" s="308"/>
      <c r="AB15" s="242"/>
      <c r="AC15" s="308"/>
      <c r="AD15" s="242"/>
      <c r="AE15" s="308"/>
      <c r="AG15" s="242"/>
      <c r="AH15" s="308"/>
      <c r="AI15" s="242"/>
      <c r="AJ15" s="308"/>
      <c r="AK15" s="242"/>
      <c r="AL15" s="308"/>
      <c r="AO15" s="245"/>
      <c r="AQ15" s="245"/>
    </row>
    <row r="16" spans="3:43" ht="19.5" customHeight="1">
      <c r="C16" s="151"/>
      <c r="D16" s="151"/>
      <c r="E16" s="241"/>
      <c r="F16" s="241"/>
      <c r="G16" s="241"/>
      <c r="H16" s="241"/>
      <c r="I16" s="241"/>
      <c r="J16" s="241"/>
      <c r="K16" s="241"/>
      <c r="N16" s="242"/>
      <c r="O16" s="242"/>
      <c r="P16" s="243"/>
      <c r="Q16" s="243"/>
      <c r="S16" s="242"/>
      <c r="T16" s="308"/>
      <c r="U16" s="242"/>
      <c r="V16" s="309"/>
      <c r="W16" s="242"/>
      <c r="X16" s="308"/>
      <c r="Z16" s="242"/>
      <c r="AA16" s="308"/>
      <c r="AB16" s="242"/>
      <c r="AC16" s="308"/>
      <c r="AD16" s="242"/>
      <c r="AE16" s="308"/>
      <c r="AG16" s="242"/>
      <c r="AH16" s="308"/>
      <c r="AI16" s="242"/>
      <c r="AJ16" s="308"/>
      <c r="AK16" s="242"/>
      <c r="AL16" s="308"/>
      <c r="AO16" s="245"/>
      <c r="AQ16" s="245"/>
    </row>
    <row r="17" spans="3:43" ht="19.5" customHeight="1">
      <c r="C17" s="151"/>
      <c r="D17" s="151"/>
      <c r="E17" s="241"/>
      <c r="F17" s="241"/>
      <c r="G17" s="241"/>
      <c r="H17" s="241"/>
      <c r="I17" s="241"/>
      <c r="J17" s="241"/>
      <c r="K17" s="241"/>
      <c r="N17" s="242"/>
      <c r="O17" s="242"/>
      <c r="P17" s="243"/>
      <c r="Q17" s="243"/>
      <c r="S17" s="242"/>
      <c r="T17" s="308"/>
      <c r="U17" s="242"/>
      <c r="V17" s="309"/>
      <c r="W17" s="242"/>
      <c r="X17" s="308"/>
      <c r="Z17" s="242"/>
      <c r="AA17" s="308"/>
      <c r="AB17" s="242"/>
      <c r="AC17" s="308"/>
      <c r="AD17" s="242"/>
      <c r="AE17" s="308"/>
      <c r="AG17" s="242"/>
      <c r="AH17" s="308"/>
      <c r="AI17" s="242"/>
      <c r="AJ17" s="308"/>
      <c r="AK17" s="242"/>
      <c r="AL17" s="308"/>
      <c r="AO17" s="245"/>
      <c r="AQ17" s="245"/>
    </row>
    <row r="18" spans="3:43" ht="19.5" customHeight="1">
      <c r="C18" s="151"/>
      <c r="D18" s="151"/>
      <c r="E18" s="241"/>
      <c r="F18" s="241"/>
      <c r="G18" s="241"/>
      <c r="H18" s="241"/>
      <c r="I18" s="241"/>
      <c r="J18" s="241"/>
      <c r="K18" s="241"/>
      <c r="N18" s="242"/>
      <c r="O18" s="242"/>
      <c r="P18" s="243"/>
      <c r="Q18" s="243"/>
      <c r="S18" s="242"/>
      <c r="T18" s="308"/>
      <c r="U18" s="242"/>
      <c r="V18" s="309"/>
      <c r="W18" s="242"/>
      <c r="X18" s="308"/>
      <c r="Z18" s="242"/>
      <c r="AA18" s="308"/>
      <c r="AB18" s="242"/>
      <c r="AC18" s="308"/>
      <c r="AD18" s="242"/>
      <c r="AE18" s="308"/>
      <c r="AG18" s="242"/>
      <c r="AH18" s="308"/>
      <c r="AI18" s="242"/>
      <c r="AJ18" s="308"/>
      <c r="AK18" s="242"/>
      <c r="AL18" s="308"/>
      <c r="AO18" s="245"/>
      <c r="AQ18" s="245"/>
    </row>
    <row r="19" spans="3:43" ht="19.5" customHeight="1">
      <c r="C19" s="151"/>
      <c r="D19" s="151"/>
      <c r="E19" s="241"/>
      <c r="F19" s="241"/>
      <c r="G19" s="241"/>
      <c r="H19" s="241"/>
      <c r="I19" s="241"/>
      <c r="J19" s="241"/>
      <c r="K19" s="241"/>
      <c r="N19" s="242"/>
      <c r="O19" s="242"/>
      <c r="P19" s="243"/>
      <c r="Q19" s="243"/>
      <c r="S19" s="242"/>
      <c r="T19" s="308"/>
      <c r="U19" s="242"/>
      <c r="V19" s="309"/>
      <c r="W19" s="242"/>
      <c r="X19" s="308"/>
      <c r="Z19" s="242"/>
      <c r="AA19" s="308"/>
      <c r="AB19" s="242"/>
      <c r="AC19" s="308"/>
      <c r="AD19" s="242"/>
      <c r="AE19" s="308"/>
      <c r="AG19" s="242"/>
      <c r="AH19" s="308"/>
      <c r="AI19" s="242"/>
      <c r="AJ19" s="308"/>
      <c r="AK19" s="242"/>
      <c r="AL19" s="308"/>
      <c r="AO19" s="245"/>
      <c r="AQ19" s="245"/>
    </row>
    <row r="20" spans="3:43" ht="19.5" customHeight="1">
      <c r="C20" s="151"/>
      <c r="D20" s="151"/>
      <c r="E20" s="241"/>
      <c r="F20" s="241"/>
      <c r="G20" s="241"/>
      <c r="H20" s="241"/>
      <c r="I20" s="241"/>
      <c r="J20" s="241"/>
      <c r="K20" s="241"/>
      <c r="N20" s="242"/>
      <c r="O20" s="242"/>
      <c r="P20" s="243"/>
      <c r="Q20" s="243"/>
      <c r="S20" s="242"/>
      <c r="T20" s="308"/>
      <c r="U20" s="242"/>
      <c r="V20" s="309"/>
      <c r="W20" s="242"/>
      <c r="X20" s="308"/>
      <c r="Z20" s="242"/>
      <c r="AA20" s="308"/>
      <c r="AB20" s="242"/>
      <c r="AC20" s="308"/>
      <c r="AD20" s="242"/>
      <c r="AE20" s="308"/>
      <c r="AG20" s="242"/>
      <c r="AH20" s="308"/>
      <c r="AI20" s="242"/>
      <c r="AJ20" s="308"/>
      <c r="AK20" s="242"/>
      <c r="AL20" s="308"/>
      <c r="AO20" s="245"/>
      <c r="AQ20" s="245"/>
    </row>
    <row r="21" spans="3:43" ht="19.5" customHeight="1">
      <c r="C21" s="151"/>
      <c r="D21" s="151"/>
      <c r="E21" s="241"/>
      <c r="F21" s="241"/>
      <c r="G21" s="241"/>
      <c r="H21" s="241"/>
      <c r="I21" s="241"/>
      <c r="J21" s="241"/>
      <c r="K21" s="241"/>
      <c r="N21" s="242"/>
      <c r="O21" s="242"/>
      <c r="P21" s="243"/>
      <c r="Q21" s="243"/>
      <c r="S21" s="242"/>
      <c r="T21" s="308"/>
      <c r="U21" s="242"/>
      <c r="V21" s="309"/>
      <c r="W21" s="242"/>
      <c r="X21" s="308"/>
      <c r="Z21" s="242"/>
      <c r="AA21" s="308"/>
      <c r="AB21" s="242"/>
      <c r="AC21" s="308"/>
      <c r="AD21" s="242"/>
      <c r="AE21" s="308"/>
      <c r="AG21" s="242"/>
      <c r="AH21" s="308"/>
      <c r="AI21" s="242"/>
      <c r="AJ21" s="308"/>
      <c r="AK21" s="242"/>
      <c r="AL21" s="308"/>
      <c r="AO21" s="245"/>
      <c r="AQ21" s="245"/>
    </row>
    <row r="22" spans="3:43" ht="19.5" customHeight="1">
      <c r="C22" s="151"/>
      <c r="D22" s="151"/>
      <c r="E22" s="241"/>
      <c r="F22" s="241"/>
      <c r="G22" s="241"/>
      <c r="H22" s="241"/>
      <c r="I22" s="241"/>
      <c r="J22" s="241"/>
      <c r="K22" s="241"/>
      <c r="N22" s="242"/>
      <c r="O22" s="242"/>
      <c r="P22" s="243"/>
      <c r="Q22" s="243"/>
      <c r="S22" s="242"/>
      <c r="T22" s="308"/>
      <c r="U22" s="242"/>
      <c r="V22" s="309"/>
      <c r="W22" s="242"/>
      <c r="X22" s="308"/>
      <c r="Z22" s="242"/>
      <c r="AA22" s="308"/>
      <c r="AB22" s="242"/>
      <c r="AC22" s="308"/>
      <c r="AD22" s="242"/>
      <c r="AE22" s="308"/>
      <c r="AG22" s="242"/>
      <c r="AH22" s="308"/>
      <c r="AI22" s="242"/>
      <c r="AJ22" s="308"/>
      <c r="AK22" s="242"/>
      <c r="AL22" s="308"/>
      <c r="AO22" s="245"/>
      <c r="AQ22" s="245"/>
    </row>
    <row r="23" spans="3:43" ht="19.5" customHeight="1">
      <c r="C23" s="151"/>
      <c r="D23" s="151"/>
      <c r="E23" s="241"/>
      <c r="F23" s="241"/>
      <c r="G23" s="241"/>
      <c r="H23" s="241"/>
      <c r="I23" s="241"/>
      <c r="J23" s="241"/>
      <c r="K23" s="241"/>
      <c r="N23" s="242"/>
      <c r="O23" s="242"/>
      <c r="P23" s="243"/>
      <c r="Q23" s="243"/>
      <c r="S23" s="242"/>
      <c r="T23" s="308"/>
      <c r="U23" s="242"/>
      <c r="V23" s="309"/>
      <c r="W23" s="242"/>
      <c r="X23" s="308"/>
      <c r="Z23" s="242"/>
      <c r="AA23" s="308"/>
      <c r="AB23" s="242"/>
      <c r="AC23" s="308"/>
      <c r="AD23" s="242"/>
      <c r="AE23" s="308"/>
      <c r="AG23" s="242"/>
      <c r="AH23" s="308"/>
      <c r="AI23" s="242"/>
      <c r="AJ23" s="308"/>
      <c r="AK23" s="242"/>
      <c r="AL23" s="308"/>
      <c r="AO23" s="245"/>
      <c r="AQ23" s="245"/>
    </row>
    <row r="24" spans="3:43" ht="19.5" customHeight="1">
      <c r="C24" s="151"/>
      <c r="D24" s="151"/>
      <c r="E24" s="241"/>
      <c r="F24" s="241"/>
      <c r="G24" s="241"/>
      <c r="H24" s="241"/>
      <c r="I24" s="241"/>
      <c r="J24" s="241"/>
      <c r="K24" s="241"/>
      <c r="N24" s="242"/>
      <c r="O24" s="242"/>
      <c r="P24" s="243"/>
      <c r="Q24" s="243"/>
      <c r="S24" s="242"/>
      <c r="T24" s="308"/>
      <c r="U24" s="242"/>
      <c r="V24" s="309"/>
      <c r="W24" s="242"/>
      <c r="X24" s="308"/>
      <c r="Z24" s="242"/>
      <c r="AA24" s="308"/>
      <c r="AB24" s="242"/>
      <c r="AC24" s="308"/>
      <c r="AD24" s="242"/>
      <c r="AE24" s="308"/>
      <c r="AG24" s="242"/>
      <c r="AH24" s="308"/>
      <c r="AI24" s="242"/>
      <c r="AJ24" s="308"/>
      <c r="AK24" s="242"/>
      <c r="AL24" s="308"/>
      <c r="AO24" s="245"/>
      <c r="AQ24" s="245"/>
    </row>
    <row r="25" spans="3:46" ht="19.5" customHeight="1">
      <c r="C25" s="151"/>
      <c r="D25" s="151"/>
      <c r="E25" s="241"/>
      <c r="F25" s="241"/>
      <c r="G25" s="241"/>
      <c r="H25" s="241"/>
      <c r="I25" s="241"/>
      <c r="J25" s="241"/>
      <c r="K25" s="241"/>
      <c r="N25" s="242"/>
      <c r="O25" s="242"/>
      <c r="P25" s="243"/>
      <c r="Q25" s="310"/>
      <c r="S25" s="242"/>
      <c r="T25" s="308"/>
      <c r="U25" s="242"/>
      <c r="V25" s="309"/>
      <c r="W25" s="242"/>
      <c r="X25" s="308"/>
      <c r="Z25" s="242"/>
      <c r="AA25" s="308"/>
      <c r="AB25" s="242"/>
      <c r="AC25" s="308"/>
      <c r="AD25" s="242"/>
      <c r="AE25" s="308"/>
      <c r="AG25" s="242"/>
      <c r="AH25" s="308"/>
      <c r="AI25" s="242"/>
      <c r="AJ25" s="308"/>
      <c r="AK25" s="242"/>
      <c r="AL25" s="308"/>
      <c r="AO25" s="245"/>
      <c r="AQ25" s="245"/>
      <c r="AT25" s="263"/>
    </row>
    <row r="26" spans="3:46" ht="19.5" customHeight="1">
      <c r="C26" s="151"/>
      <c r="D26" s="151"/>
      <c r="E26" s="241"/>
      <c r="F26" s="241"/>
      <c r="G26" s="241"/>
      <c r="H26" s="241"/>
      <c r="I26" s="241"/>
      <c r="J26" s="241"/>
      <c r="K26" s="241"/>
      <c r="N26" s="242"/>
      <c r="O26" s="242"/>
      <c r="P26" s="243"/>
      <c r="Q26" s="243"/>
      <c r="S26" s="242"/>
      <c r="T26" s="308"/>
      <c r="U26" s="242"/>
      <c r="V26" s="309"/>
      <c r="W26" s="242"/>
      <c r="X26" s="308"/>
      <c r="Z26" s="242"/>
      <c r="AA26" s="308"/>
      <c r="AB26" s="242"/>
      <c r="AC26" s="308"/>
      <c r="AD26" s="242"/>
      <c r="AE26" s="308"/>
      <c r="AG26" s="242"/>
      <c r="AH26" s="308"/>
      <c r="AI26" s="242"/>
      <c r="AJ26" s="308"/>
      <c r="AK26" s="242"/>
      <c r="AL26" s="308"/>
      <c r="AO26" s="245"/>
      <c r="AQ26" s="245"/>
      <c r="AT26" s="263"/>
    </row>
    <row r="27" spans="3:46" ht="19.5" customHeight="1">
      <c r="C27" s="151"/>
      <c r="D27" s="151"/>
      <c r="E27" s="241"/>
      <c r="F27" s="241"/>
      <c r="G27" s="241"/>
      <c r="H27" s="241"/>
      <c r="I27" s="241"/>
      <c r="J27" s="241"/>
      <c r="K27" s="241"/>
      <c r="N27" s="242"/>
      <c r="O27" s="242"/>
      <c r="P27" s="243"/>
      <c r="Q27" s="243"/>
      <c r="S27" s="242"/>
      <c r="T27" s="308"/>
      <c r="U27" s="242"/>
      <c r="V27" s="309"/>
      <c r="W27" s="242"/>
      <c r="X27" s="308"/>
      <c r="Z27" s="242"/>
      <c r="AA27" s="308"/>
      <c r="AB27" s="242"/>
      <c r="AC27" s="308"/>
      <c r="AD27" s="242"/>
      <c r="AE27" s="308"/>
      <c r="AG27" s="242"/>
      <c r="AH27" s="308"/>
      <c r="AI27" s="242"/>
      <c r="AJ27" s="308"/>
      <c r="AK27" s="242"/>
      <c r="AL27" s="308"/>
      <c r="AO27" s="245"/>
      <c r="AQ27" s="245"/>
      <c r="AT27" s="263"/>
    </row>
    <row r="28" spans="3:46" ht="19.5" customHeight="1">
      <c r="C28" s="151"/>
      <c r="D28" s="151"/>
      <c r="E28" s="241"/>
      <c r="F28" s="241"/>
      <c r="G28" s="241"/>
      <c r="H28" s="241"/>
      <c r="I28" s="241"/>
      <c r="J28" s="241"/>
      <c r="K28" s="241"/>
      <c r="N28" s="242"/>
      <c r="O28" s="242"/>
      <c r="P28" s="243"/>
      <c r="Q28" s="243"/>
      <c r="S28" s="242"/>
      <c r="T28" s="308"/>
      <c r="U28" s="242"/>
      <c r="V28" s="309"/>
      <c r="W28" s="242"/>
      <c r="X28" s="308"/>
      <c r="Z28" s="242"/>
      <c r="AA28" s="308"/>
      <c r="AB28" s="242"/>
      <c r="AC28" s="308"/>
      <c r="AD28" s="242"/>
      <c r="AE28" s="308"/>
      <c r="AG28" s="242"/>
      <c r="AH28" s="308"/>
      <c r="AI28" s="242"/>
      <c r="AJ28" s="308"/>
      <c r="AK28" s="242"/>
      <c r="AL28" s="308"/>
      <c r="AO28" s="245"/>
      <c r="AQ28" s="245"/>
      <c r="AT28" s="263"/>
    </row>
    <row r="29" spans="3:46" ht="19.5" customHeight="1">
      <c r="C29" s="151"/>
      <c r="D29" s="151"/>
      <c r="E29" s="241"/>
      <c r="F29" s="241"/>
      <c r="G29" s="241"/>
      <c r="H29" s="241"/>
      <c r="I29" s="241"/>
      <c r="J29" s="241"/>
      <c r="K29" s="241"/>
      <c r="N29" s="242"/>
      <c r="O29" s="242"/>
      <c r="P29" s="243"/>
      <c r="Q29" s="243"/>
      <c r="S29" s="242"/>
      <c r="T29" s="308"/>
      <c r="U29" s="242"/>
      <c r="V29" s="309"/>
      <c r="W29" s="242"/>
      <c r="X29" s="308"/>
      <c r="Z29" s="242"/>
      <c r="AA29" s="308"/>
      <c r="AB29" s="242"/>
      <c r="AC29" s="308"/>
      <c r="AD29" s="242"/>
      <c r="AE29" s="308"/>
      <c r="AG29" s="242"/>
      <c r="AH29" s="308"/>
      <c r="AI29" s="242"/>
      <c r="AJ29" s="308"/>
      <c r="AK29" s="242"/>
      <c r="AL29" s="308"/>
      <c r="AO29" s="245"/>
      <c r="AQ29" s="245"/>
      <c r="AT29" s="263"/>
    </row>
    <row r="30" spans="3:46" ht="19.5" customHeight="1">
      <c r="C30" s="151"/>
      <c r="D30" s="151"/>
      <c r="E30" s="241"/>
      <c r="F30" s="241"/>
      <c r="G30" s="241"/>
      <c r="H30" s="241"/>
      <c r="I30" s="241"/>
      <c r="J30" s="241"/>
      <c r="K30" s="241"/>
      <c r="N30" s="242"/>
      <c r="O30" s="242"/>
      <c r="P30" s="243"/>
      <c r="Q30" s="243"/>
      <c r="S30" s="242"/>
      <c r="T30" s="308"/>
      <c r="U30" s="242"/>
      <c r="V30" s="309"/>
      <c r="W30" s="242"/>
      <c r="X30" s="308"/>
      <c r="Z30" s="242"/>
      <c r="AA30" s="308"/>
      <c r="AB30" s="242"/>
      <c r="AC30" s="308"/>
      <c r="AD30" s="242"/>
      <c r="AE30" s="308"/>
      <c r="AG30" s="242"/>
      <c r="AH30" s="308"/>
      <c r="AI30" s="242"/>
      <c r="AJ30" s="308"/>
      <c r="AK30" s="242"/>
      <c r="AL30" s="308"/>
      <c r="AO30" s="245"/>
      <c r="AQ30" s="245"/>
      <c r="AT30" s="263"/>
    </row>
    <row r="31" spans="3:46" ht="19.5" customHeight="1">
      <c r="C31" s="151"/>
      <c r="D31" s="151"/>
      <c r="E31" s="241"/>
      <c r="F31" s="241"/>
      <c r="G31" s="241"/>
      <c r="H31" s="241"/>
      <c r="I31" s="241"/>
      <c r="J31" s="241"/>
      <c r="K31" s="241"/>
      <c r="N31" s="242"/>
      <c r="O31" s="242"/>
      <c r="P31" s="243"/>
      <c r="Q31" s="243"/>
      <c r="S31" s="242"/>
      <c r="T31" s="308"/>
      <c r="U31" s="242"/>
      <c r="V31" s="309"/>
      <c r="W31" s="242"/>
      <c r="X31" s="308"/>
      <c r="Z31" s="242"/>
      <c r="AA31" s="308"/>
      <c r="AB31" s="242"/>
      <c r="AC31" s="308"/>
      <c r="AD31" s="242"/>
      <c r="AE31" s="308"/>
      <c r="AG31" s="242"/>
      <c r="AH31" s="308"/>
      <c r="AI31" s="242"/>
      <c r="AJ31" s="308"/>
      <c r="AK31" s="242"/>
      <c r="AL31" s="308"/>
      <c r="AO31" s="245"/>
      <c r="AQ31" s="245"/>
      <c r="AT31" s="263"/>
    </row>
    <row r="32" spans="3:46" ht="19.5" customHeight="1">
      <c r="C32" s="151"/>
      <c r="D32" s="151"/>
      <c r="E32" s="241"/>
      <c r="F32" s="241"/>
      <c r="G32" s="241"/>
      <c r="H32" s="241"/>
      <c r="I32" s="241"/>
      <c r="J32" s="241"/>
      <c r="K32" s="241"/>
      <c r="N32" s="242"/>
      <c r="O32" s="242"/>
      <c r="P32" s="243"/>
      <c r="Q32" s="243"/>
      <c r="S32" s="242"/>
      <c r="T32" s="308"/>
      <c r="U32" s="242"/>
      <c r="V32" s="309"/>
      <c r="W32" s="242"/>
      <c r="X32" s="308"/>
      <c r="Z32" s="242"/>
      <c r="AA32" s="308"/>
      <c r="AB32" s="242"/>
      <c r="AC32" s="308"/>
      <c r="AD32" s="242"/>
      <c r="AE32" s="308"/>
      <c r="AG32" s="242"/>
      <c r="AH32" s="308"/>
      <c r="AI32" s="242"/>
      <c r="AJ32" s="308"/>
      <c r="AK32" s="242"/>
      <c r="AL32" s="308"/>
      <c r="AO32" s="245"/>
      <c r="AQ32" s="245"/>
      <c r="AT32" s="263"/>
    </row>
    <row r="33" spans="3:43" ht="19.5" customHeight="1">
      <c r="C33" s="151"/>
      <c r="D33" s="151"/>
      <c r="E33" s="241"/>
      <c r="F33" s="241"/>
      <c r="G33" s="241"/>
      <c r="H33" s="241"/>
      <c r="I33" s="241"/>
      <c r="J33" s="241"/>
      <c r="K33" s="241"/>
      <c r="N33" s="242"/>
      <c r="O33" s="242"/>
      <c r="P33" s="243"/>
      <c r="Q33" s="243"/>
      <c r="S33" s="242"/>
      <c r="T33" s="308"/>
      <c r="U33" s="242"/>
      <c r="V33" s="309"/>
      <c r="W33" s="242"/>
      <c r="X33" s="308"/>
      <c r="Z33" s="242"/>
      <c r="AA33" s="308"/>
      <c r="AB33" s="242"/>
      <c r="AC33" s="308"/>
      <c r="AD33" s="242"/>
      <c r="AE33" s="308"/>
      <c r="AG33" s="242"/>
      <c r="AH33" s="308"/>
      <c r="AI33" s="242"/>
      <c r="AJ33" s="308"/>
      <c r="AK33" s="242"/>
      <c r="AL33" s="308"/>
      <c r="AO33" s="245"/>
      <c r="AQ33" s="245"/>
    </row>
    <row r="34" spans="3:43" ht="19.5" customHeight="1">
      <c r="C34" s="151"/>
      <c r="D34" s="151"/>
      <c r="E34" s="241"/>
      <c r="F34" s="241"/>
      <c r="G34" s="241"/>
      <c r="H34" s="241"/>
      <c r="I34" s="241"/>
      <c r="J34" s="241"/>
      <c r="K34" s="241"/>
      <c r="N34" s="242"/>
      <c r="O34" s="242"/>
      <c r="P34" s="243"/>
      <c r="Q34" s="243"/>
      <c r="S34" s="242"/>
      <c r="T34" s="308"/>
      <c r="U34" s="242"/>
      <c r="V34" s="309"/>
      <c r="W34" s="242"/>
      <c r="X34" s="308"/>
      <c r="Z34" s="242"/>
      <c r="AA34" s="308"/>
      <c r="AB34" s="242"/>
      <c r="AC34" s="308"/>
      <c r="AD34" s="242"/>
      <c r="AE34" s="308"/>
      <c r="AG34" s="242"/>
      <c r="AH34" s="308"/>
      <c r="AI34" s="242"/>
      <c r="AJ34" s="308"/>
      <c r="AK34" s="242"/>
      <c r="AL34" s="308"/>
      <c r="AO34" s="245"/>
      <c r="AQ34" s="245"/>
    </row>
    <row r="35" spans="3:43" ht="19.5" customHeight="1">
      <c r="C35" s="151"/>
      <c r="D35" s="151"/>
      <c r="E35" s="241"/>
      <c r="F35" s="241"/>
      <c r="G35" s="241"/>
      <c r="H35" s="241"/>
      <c r="I35" s="241"/>
      <c r="J35" s="241"/>
      <c r="K35" s="241"/>
      <c r="N35" s="242"/>
      <c r="O35" s="242"/>
      <c r="P35" s="243"/>
      <c r="Q35" s="243"/>
      <c r="S35" s="242"/>
      <c r="T35" s="308"/>
      <c r="U35" s="242"/>
      <c r="V35" s="309"/>
      <c r="W35" s="242"/>
      <c r="X35" s="308"/>
      <c r="Z35" s="242"/>
      <c r="AA35" s="308"/>
      <c r="AB35" s="242"/>
      <c r="AC35" s="308"/>
      <c r="AD35" s="242"/>
      <c r="AE35" s="308"/>
      <c r="AG35" s="242"/>
      <c r="AH35" s="308"/>
      <c r="AI35" s="242"/>
      <c r="AJ35" s="308"/>
      <c r="AK35" s="242"/>
      <c r="AL35" s="308"/>
      <c r="AO35" s="245"/>
      <c r="AQ35" s="245"/>
    </row>
    <row r="36" spans="3:43" ht="19.5" customHeight="1">
      <c r="C36" s="151"/>
      <c r="D36" s="151"/>
      <c r="E36" s="241"/>
      <c r="F36" s="241"/>
      <c r="G36" s="241"/>
      <c r="H36" s="241"/>
      <c r="I36" s="241"/>
      <c r="J36" s="241"/>
      <c r="K36" s="241"/>
      <c r="N36" s="242"/>
      <c r="O36" s="242"/>
      <c r="P36" s="243"/>
      <c r="Q36" s="243"/>
      <c r="S36" s="242"/>
      <c r="T36" s="308"/>
      <c r="U36" s="242"/>
      <c r="V36" s="309"/>
      <c r="W36" s="242"/>
      <c r="X36" s="308"/>
      <c r="Z36" s="242"/>
      <c r="AA36" s="308"/>
      <c r="AB36" s="242"/>
      <c r="AC36" s="308"/>
      <c r="AD36" s="242"/>
      <c r="AE36" s="308"/>
      <c r="AG36" s="242"/>
      <c r="AH36" s="308"/>
      <c r="AI36" s="242"/>
      <c r="AJ36" s="308"/>
      <c r="AK36" s="242"/>
      <c r="AL36" s="308"/>
      <c r="AO36" s="245"/>
      <c r="AQ36" s="245"/>
    </row>
    <row r="37" spans="3:43" ht="19.5" customHeight="1">
      <c r="C37" s="151"/>
      <c r="D37" s="151"/>
      <c r="E37" s="241"/>
      <c r="F37" s="241"/>
      <c r="G37" s="241"/>
      <c r="H37" s="241"/>
      <c r="I37" s="241"/>
      <c r="J37" s="241"/>
      <c r="K37" s="241"/>
      <c r="N37" s="242"/>
      <c r="O37" s="242"/>
      <c r="P37" s="243"/>
      <c r="Q37" s="243"/>
      <c r="S37" s="242"/>
      <c r="T37" s="308"/>
      <c r="U37" s="242"/>
      <c r="V37" s="309"/>
      <c r="W37" s="242"/>
      <c r="X37" s="308"/>
      <c r="Z37" s="242"/>
      <c r="AA37" s="308"/>
      <c r="AB37" s="242"/>
      <c r="AC37" s="308"/>
      <c r="AD37" s="242"/>
      <c r="AE37" s="308"/>
      <c r="AG37" s="242"/>
      <c r="AH37" s="308"/>
      <c r="AI37" s="242"/>
      <c r="AJ37" s="308"/>
      <c r="AK37" s="242"/>
      <c r="AL37" s="308"/>
      <c r="AO37" s="245"/>
      <c r="AQ37" s="245"/>
    </row>
    <row r="38" spans="3:43" ht="19.5" customHeight="1">
      <c r="C38" s="151"/>
      <c r="D38" s="151"/>
      <c r="E38" s="241"/>
      <c r="F38" s="241"/>
      <c r="G38" s="241"/>
      <c r="H38" s="241"/>
      <c r="I38" s="241"/>
      <c r="J38" s="241"/>
      <c r="K38" s="241"/>
      <c r="N38" s="242"/>
      <c r="O38" s="242"/>
      <c r="P38" s="243"/>
      <c r="Q38" s="243"/>
      <c r="S38" s="242"/>
      <c r="T38" s="308"/>
      <c r="U38" s="242"/>
      <c r="V38" s="309"/>
      <c r="W38" s="242"/>
      <c r="X38" s="308"/>
      <c r="Z38" s="242"/>
      <c r="AA38" s="308"/>
      <c r="AB38" s="242"/>
      <c r="AC38" s="308"/>
      <c r="AD38" s="242"/>
      <c r="AE38" s="308"/>
      <c r="AG38" s="242"/>
      <c r="AH38" s="308"/>
      <c r="AI38" s="242"/>
      <c r="AJ38" s="308"/>
      <c r="AK38" s="242"/>
      <c r="AL38" s="308"/>
      <c r="AO38" s="245"/>
      <c r="AQ38" s="245"/>
    </row>
    <row r="39" spans="3:43" ht="19.5" customHeight="1">
      <c r="C39" s="151"/>
      <c r="D39" s="151"/>
      <c r="E39" s="241"/>
      <c r="F39" s="241"/>
      <c r="G39" s="241"/>
      <c r="H39" s="241"/>
      <c r="I39" s="241"/>
      <c r="J39" s="241"/>
      <c r="K39" s="241"/>
      <c r="N39" s="242"/>
      <c r="O39" s="242"/>
      <c r="P39" s="243"/>
      <c r="Q39" s="243"/>
      <c r="S39" s="242"/>
      <c r="T39" s="308"/>
      <c r="U39" s="242"/>
      <c r="V39" s="309"/>
      <c r="W39" s="242"/>
      <c r="X39" s="308"/>
      <c r="Z39" s="242"/>
      <c r="AA39" s="308"/>
      <c r="AB39" s="242"/>
      <c r="AC39" s="308"/>
      <c r="AD39" s="242"/>
      <c r="AE39" s="308"/>
      <c r="AG39" s="242"/>
      <c r="AH39" s="308"/>
      <c r="AI39" s="242"/>
      <c r="AJ39" s="308"/>
      <c r="AK39" s="242"/>
      <c r="AL39" s="308"/>
      <c r="AO39" s="245"/>
      <c r="AQ39" s="245"/>
    </row>
    <row r="40" spans="3:43" ht="19.5" customHeight="1">
      <c r="C40" s="151"/>
      <c r="D40" s="151"/>
      <c r="E40" s="241"/>
      <c r="F40" s="241"/>
      <c r="G40" s="241"/>
      <c r="H40" s="241"/>
      <c r="I40" s="241"/>
      <c r="J40" s="241"/>
      <c r="K40" s="241"/>
      <c r="N40" s="242"/>
      <c r="O40" s="242"/>
      <c r="P40" s="243"/>
      <c r="Q40" s="243"/>
      <c r="S40" s="242"/>
      <c r="T40" s="308"/>
      <c r="U40" s="242"/>
      <c r="V40" s="309"/>
      <c r="W40" s="242"/>
      <c r="X40" s="308"/>
      <c r="Z40" s="242"/>
      <c r="AA40" s="308"/>
      <c r="AB40" s="242"/>
      <c r="AC40" s="308"/>
      <c r="AD40" s="242"/>
      <c r="AE40" s="308"/>
      <c r="AG40" s="242"/>
      <c r="AH40" s="308"/>
      <c r="AI40" s="242"/>
      <c r="AJ40" s="308"/>
      <c r="AK40" s="242"/>
      <c r="AL40" s="308"/>
      <c r="AO40" s="245"/>
      <c r="AQ40" s="245"/>
    </row>
    <row r="41" spans="3:43" ht="19.5" customHeight="1">
      <c r="C41" s="151"/>
      <c r="D41" s="151"/>
      <c r="E41" s="241"/>
      <c r="F41" s="241"/>
      <c r="G41" s="241"/>
      <c r="H41" s="241"/>
      <c r="I41" s="241"/>
      <c r="J41" s="241"/>
      <c r="K41" s="241"/>
      <c r="N41" s="242"/>
      <c r="O41" s="242"/>
      <c r="P41" s="243"/>
      <c r="Q41" s="243"/>
      <c r="S41" s="242"/>
      <c r="T41" s="308"/>
      <c r="U41" s="242"/>
      <c r="V41" s="309"/>
      <c r="W41" s="242"/>
      <c r="X41" s="308"/>
      <c r="Z41" s="242"/>
      <c r="AA41" s="308"/>
      <c r="AB41" s="242"/>
      <c r="AC41" s="308"/>
      <c r="AD41" s="242"/>
      <c r="AE41" s="308"/>
      <c r="AG41" s="242"/>
      <c r="AH41" s="308"/>
      <c r="AI41" s="242"/>
      <c r="AJ41" s="308"/>
      <c r="AK41" s="242"/>
      <c r="AL41" s="308"/>
      <c r="AO41" s="245"/>
      <c r="AQ41" s="245"/>
    </row>
    <row r="42" spans="3:43" ht="19.5" customHeight="1">
      <c r="C42" s="151"/>
      <c r="D42" s="151"/>
      <c r="E42" s="241"/>
      <c r="F42" s="241"/>
      <c r="G42" s="241"/>
      <c r="H42" s="241"/>
      <c r="I42" s="241"/>
      <c r="J42" s="241"/>
      <c r="K42" s="241"/>
      <c r="N42" s="242"/>
      <c r="O42" s="242"/>
      <c r="P42" s="243"/>
      <c r="Q42" s="243"/>
      <c r="S42" s="242"/>
      <c r="T42" s="308"/>
      <c r="U42" s="242"/>
      <c r="V42" s="309"/>
      <c r="W42" s="242"/>
      <c r="X42" s="308"/>
      <c r="Z42" s="242"/>
      <c r="AA42" s="308"/>
      <c r="AB42" s="242"/>
      <c r="AC42" s="308"/>
      <c r="AD42" s="242"/>
      <c r="AE42" s="308"/>
      <c r="AG42" s="242"/>
      <c r="AH42" s="308"/>
      <c r="AI42" s="242"/>
      <c r="AJ42" s="308"/>
      <c r="AK42" s="242"/>
      <c r="AL42" s="308"/>
      <c r="AO42" s="245"/>
      <c r="AQ42" s="245"/>
    </row>
    <row r="43" spans="3:43" ht="19.5" customHeight="1">
      <c r="C43" s="151"/>
      <c r="D43" s="151"/>
      <c r="E43" s="241"/>
      <c r="F43" s="241"/>
      <c r="G43" s="241"/>
      <c r="H43" s="241"/>
      <c r="I43" s="241"/>
      <c r="J43" s="241"/>
      <c r="K43" s="241"/>
      <c r="N43" s="242"/>
      <c r="O43" s="242"/>
      <c r="P43" s="243"/>
      <c r="Q43" s="243"/>
      <c r="S43" s="242"/>
      <c r="T43" s="308"/>
      <c r="U43" s="242"/>
      <c r="V43" s="309"/>
      <c r="W43" s="242"/>
      <c r="X43" s="308"/>
      <c r="Z43" s="242"/>
      <c r="AA43" s="308"/>
      <c r="AB43" s="242"/>
      <c r="AC43" s="308"/>
      <c r="AD43" s="242"/>
      <c r="AE43" s="308"/>
      <c r="AG43" s="242"/>
      <c r="AH43" s="308"/>
      <c r="AI43" s="242"/>
      <c r="AJ43" s="308"/>
      <c r="AK43" s="242"/>
      <c r="AL43" s="308"/>
      <c r="AO43" s="245"/>
      <c r="AQ43" s="245"/>
    </row>
    <row r="44" spans="3:43" ht="19.5" customHeight="1">
      <c r="C44" s="151"/>
      <c r="D44" s="151"/>
      <c r="E44" s="241"/>
      <c r="F44" s="241"/>
      <c r="G44" s="241"/>
      <c r="H44" s="241"/>
      <c r="I44" s="241"/>
      <c r="J44" s="241"/>
      <c r="K44" s="241"/>
      <c r="N44" s="242"/>
      <c r="O44" s="242"/>
      <c r="P44" s="243"/>
      <c r="Q44" s="243"/>
      <c r="S44" s="242"/>
      <c r="T44" s="308"/>
      <c r="U44" s="242"/>
      <c r="V44" s="309"/>
      <c r="W44" s="242"/>
      <c r="X44" s="308"/>
      <c r="Z44" s="242"/>
      <c r="AA44" s="308"/>
      <c r="AB44" s="242"/>
      <c r="AC44" s="308"/>
      <c r="AD44" s="242"/>
      <c r="AE44" s="308"/>
      <c r="AG44" s="242"/>
      <c r="AH44" s="308"/>
      <c r="AI44" s="242"/>
      <c r="AJ44" s="308"/>
      <c r="AK44" s="242"/>
      <c r="AL44" s="308"/>
      <c r="AO44" s="245"/>
      <c r="AQ44" s="245"/>
    </row>
    <row r="45" spans="3:44" ht="19.5" customHeight="1">
      <c r="C45" s="151"/>
      <c r="D45" s="151"/>
      <c r="E45" s="241"/>
      <c r="F45" s="241"/>
      <c r="G45" s="241"/>
      <c r="H45" s="241"/>
      <c r="I45" s="241"/>
      <c r="J45" s="241"/>
      <c r="K45" s="241"/>
      <c r="N45" s="242"/>
      <c r="O45" s="242"/>
      <c r="P45" s="243"/>
      <c r="Q45" s="243"/>
      <c r="R45" s="70" t="s">
        <v>150</v>
      </c>
      <c r="S45" s="242"/>
      <c r="T45" s="308"/>
      <c r="U45" s="242">
        <f>sin_oc_1!AX41</f>
        <v>105.3</v>
      </c>
      <c r="V45" s="309">
        <f>sin_oc_1!AY41</f>
        <v>158571.7588788784</v>
      </c>
      <c r="W45" s="242">
        <f>sin_oc_1!AZ41</f>
        <v>0</v>
      </c>
      <c r="X45" s="308">
        <f>sin_oc_1!BA41</f>
        <v>0</v>
      </c>
      <c r="Y45" s="70" t="s">
        <v>150</v>
      </c>
      <c r="Z45" s="242"/>
      <c r="AA45" s="308"/>
      <c r="AB45" s="242"/>
      <c r="AC45" s="308"/>
      <c r="AD45" s="242"/>
      <c r="AE45" s="308"/>
      <c r="AF45" s="70" t="s">
        <v>150</v>
      </c>
      <c r="AG45" s="242"/>
      <c r="AH45" s="308"/>
      <c r="AI45" s="242"/>
      <c r="AJ45" s="308"/>
      <c r="AK45" s="242"/>
      <c r="AL45" s="308"/>
      <c r="AN45" s="302">
        <f>T45+V45+X45+AA45++AC45+AE45+AH45+AJ45+AL45</f>
        <v>158571.7588788784</v>
      </c>
      <c r="AO45" s="245"/>
      <c r="AP45" s="302">
        <f>sin_oc_1!AB26</f>
        <v>158571.7588788784</v>
      </c>
      <c r="AQ45" s="245"/>
      <c r="AR45" s="303">
        <f>AN45-AP45</f>
        <v>0</v>
      </c>
    </row>
    <row r="46" spans="3:44" ht="19.5" customHeight="1">
      <c r="C46" s="151"/>
      <c r="D46" s="151"/>
      <c r="E46" s="241"/>
      <c r="F46" s="241"/>
      <c r="G46" s="241"/>
      <c r="H46" s="241"/>
      <c r="I46" s="241"/>
      <c r="J46" s="241"/>
      <c r="K46" s="241"/>
      <c r="N46" s="242"/>
      <c r="O46" s="242"/>
      <c r="P46" s="243"/>
      <c r="Q46" s="243"/>
      <c r="S46" s="242"/>
      <c r="T46" s="308"/>
      <c r="U46" s="242">
        <f>sin_oc_1!AX42</f>
        <v>1</v>
      </c>
      <c r="V46" s="309"/>
      <c r="W46" s="242">
        <f>sin_oc_1!AZ42</f>
        <v>0</v>
      </c>
      <c r="X46" s="308"/>
      <c r="Z46" s="242"/>
      <c r="AA46" s="308"/>
      <c r="AB46" s="242"/>
      <c r="AC46" s="308"/>
      <c r="AD46" s="242"/>
      <c r="AE46" s="308"/>
      <c r="AG46" s="242"/>
      <c r="AH46" s="308"/>
      <c r="AI46" s="242"/>
      <c r="AJ46" s="308"/>
      <c r="AK46" s="242"/>
      <c r="AL46" s="308"/>
      <c r="AO46" s="245"/>
      <c r="AQ46" s="245"/>
      <c r="AR46" s="303">
        <f>AN46-AP46</f>
        <v>0</v>
      </c>
    </row>
    <row r="47" spans="3:44" ht="19.5" customHeight="1">
      <c r="C47" s="151"/>
      <c r="D47" s="151"/>
      <c r="E47" s="241"/>
      <c r="F47" s="241"/>
      <c r="G47" s="241"/>
      <c r="H47" s="241"/>
      <c r="I47" s="241"/>
      <c r="J47" s="241"/>
      <c r="K47" s="241"/>
      <c r="N47" s="242"/>
      <c r="O47" s="242"/>
      <c r="P47" s="243"/>
      <c r="Q47" s="243"/>
      <c r="S47" s="242"/>
      <c r="T47" s="308"/>
      <c r="U47" s="242"/>
      <c r="V47" s="309"/>
      <c r="W47" s="242"/>
      <c r="X47" s="308"/>
      <c r="Z47" s="242"/>
      <c r="AA47" s="308"/>
      <c r="AB47" s="242"/>
      <c r="AC47" s="308"/>
      <c r="AD47" s="242"/>
      <c r="AE47" s="308"/>
      <c r="AG47" s="242"/>
      <c r="AH47" s="308"/>
      <c r="AI47" s="242"/>
      <c r="AJ47" s="308"/>
      <c r="AK47" s="242"/>
      <c r="AL47" s="308"/>
      <c r="AO47" s="245"/>
      <c r="AQ47" s="245"/>
      <c r="AR47" s="303">
        <f>AN47-AP47</f>
        <v>0</v>
      </c>
    </row>
    <row r="48" spans="3:44" ht="19.5" customHeight="1">
      <c r="C48" s="151"/>
      <c r="D48" s="151"/>
      <c r="E48" s="241"/>
      <c r="F48" s="241"/>
      <c r="G48" s="241"/>
      <c r="H48" s="241"/>
      <c r="I48" s="241"/>
      <c r="J48" s="241"/>
      <c r="K48" s="241"/>
      <c r="N48" s="242"/>
      <c r="O48" s="242"/>
      <c r="P48" s="243"/>
      <c r="Q48" s="243"/>
      <c r="S48" s="242"/>
      <c r="T48" s="308"/>
      <c r="U48" s="242"/>
      <c r="V48" s="309"/>
      <c r="W48" s="242"/>
      <c r="X48" s="308"/>
      <c r="Z48" s="242"/>
      <c r="AA48" s="308"/>
      <c r="AB48" s="242"/>
      <c r="AC48" s="308"/>
      <c r="AD48" s="242"/>
      <c r="AE48" s="308"/>
      <c r="AG48" s="242"/>
      <c r="AH48" s="308"/>
      <c r="AI48" s="242"/>
      <c r="AJ48" s="308"/>
      <c r="AK48" s="242"/>
      <c r="AL48" s="308"/>
      <c r="AO48" s="245"/>
      <c r="AQ48" s="245"/>
      <c r="AR48" s="303">
        <f>AN48-AP48</f>
        <v>0</v>
      </c>
    </row>
    <row r="49" spans="3:44" ht="19.5" customHeight="1">
      <c r="C49" s="151"/>
      <c r="D49" s="151"/>
      <c r="E49" s="241"/>
      <c r="F49" s="241"/>
      <c r="G49" s="241"/>
      <c r="H49" s="241"/>
      <c r="I49" s="241"/>
      <c r="J49" s="241"/>
      <c r="K49" s="241"/>
      <c r="N49" s="242"/>
      <c r="O49" s="242"/>
      <c r="P49" s="243"/>
      <c r="Q49" s="243"/>
      <c r="S49" s="242"/>
      <c r="T49" s="308"/>
      <c r="U49" s="242"/>
      <c r="V49" s="309"/>
      <c r="W49" s="242"/>
      <c r="X49" s="308"/>
      <c r="Z49" s="242"/>
      <c r="AA49" s="308"/>
      <c r="AB49" s="242"/>
      <c r="AC49" s="308"/>
      <c r="AD49" s="242"/>
      <c r="AE49" s="308"/>
      <c r="AG49" s="242"/>
      <c r="AH49" s="308"/>
      <c r="AI49" s="242"/>
      <c r="AJ49" s="308"/>
      <c r="AK49" s="242"/>
      <c r="AL49" s="308"/>
      <c r="AO49" s="245"/>
      <c r="AQ49" s="245"/>
      <c r="AR49" s="303">
        <f>AN49-AP49</f>
        <v>0</v>
      </c>
    </row>
    <row r="50" spans="3:44" ht="19.5" customHeight="1">
      <c r="C50" s="151"/>
      <c r="D50" s="151"/>
      <c r="E50" s="279"/>
      <c r="F50" s="241"/>
      <c r="G50" s="279"/>
      <c r="H50" s="279"/>
      <c r="I50" s="279"/>
      <c r="J50" s="241"/>
      <c r="K50" s="241"/>
      <c r="N50" s="242"/>
      <c r="O50" s="242"/>
      <c r="P50" s="243"/>
      <c r="Q50" s="243"/>
      <c r="R50" s="311"/>
      <c r="S50" s="242"/>
      <c r="T50" s="308"/>
      <c r="U50" s="242"/>
      <c r="V50" s="309"/>
      <c r="W50" s="242"/>
      <c r="X50" s="308"/>
      <c r="Y50" s="311"/>
      <c r="Z50" s="242"/>
      <c r="AA50" s="308"/>
      <c r="AB50" s="242"/>
      <c r="AC50" s="308"/>
      <c r="AD50" s="242"/>
      <c r="AE50" s="308"/>
      <c r="AF50" s="311"/>
      <c r="AG50" s="242"/>
      <c r="AH50" s="308"/>
      <c r="AI50" s="242"/>
      <c r="AJ50" s="308"/>
      <c r="AK50" s="242"/>
      <c r="AL50" s="308"/>
      <c r="AO50" s="302"/>
      <c r="AP50"/>
      <c r="AQ50" s="245"/>
      <c r="AR50" s="303">
        <f>AN50-AP50</f>
        <v>0</v>
      </c>
    </row>
    <row r="51" spans="3:44" s="196" customFormat="1" ht="21" customHeight="1">
      <c r="C51" s="286"/>
      <c r="D51" s="287" t="s">
        <v>125</v>
      </c>
      <c r="E51" s="288">
        <f>SUM(E3:E50)</f>
        <v>0</v>
      </c>
      <c r="F51" s="288">
        <f>SUM(F3:F50)</f>
        <v>0</v>
      </c>
      <c r="G51" s="288">
        <f>SUM(G3:G50)</f>
        <v>0</v>
      </c>
      <c r="H51" s="288">
        <f>SUM(H3:H50)-J51</f>
        <v>0</v>
      </c>
      <c r="I51" s="288">
        <f>SUM(I3:I50)</f>
        <v>0</v>
      </c>
      <c r="J51" s="288">
        <f>SUM(J3:J50)</f>
        <v>0</v>
      </c>
      <c r="K51" s="288">
        <f>SUM(K3:K50)</f>
        <v>0</v>
      </c>
      <c r="N51" s="289">
        <f>SUM(N3:N50)</f>
        <v>0</v>
      </c>
      <c r="O51" s="289">
        <f>SUM(O3:O50)</f>
        <v>0</v>
      </c>
      <c r="P51" s="289">
        <f>SUM(P3:P50)</f>
        <v>0</v>
      </c>
      <c r="Q51" s="289">
        <f>SUM(Q3:Q50)</f>
        <v>0</v>
      </c>
      <c r="R51" s="70"/>
      <c r="S51" s="289">
        <f>S3+S5+S7+S9+S11+S13+S15+S17+S19+S21+S23+S25+S27+S29+S31+S33+S35+S37+S39+S41+S43+S45+S47+S49</f>
        <v>450.4</v>
      </c>
      <c r="T51" s="312">
        <f>T3+T5+T7+T9+T11+T13+T15+T17+T19+T21+T23+T25+T27+T29+T31+T33+T35+T37+T39+T41+T43+T45+T47+T49</f>
        <v>658761.7591248513</v>
      </c>
      <c r="U51" s="289">
        <f>U3+U5+U7+U9+U11+U13+U15+U17+U19+U21+U23+U25+U27+U29+U31+U33+U35+U37+U39+U41+U43+U45+U47+U49</f>
        <v>976.0764705882352</v>
      </c>
      <c r="V51" s="312">
        <f>V3+V5+V7+V9+V11+V13+V15+V17+V19+V21+V23+V25+V27+V29+V31+V33+V35+V37+V39+V41+V43+V45+V47+V49</f>
        <v>1435538.5312576075</v>
      </c>
      <c r="W51" s="289">
        <f>W3+W5+W7+W9+W11+W13+W15+W17+W19+W21+W23+W25+W27+W29+W31+W33+W35+W37+W39+W41+W43+W45+W47+W49</f>
        <v>255.8235294117647</v>
      </c>
      <c r="X51" s="312">
        <f>X3+X5+X7+X9+X11+X13+X15+X17+X19+X21+X23+X25+X27+X29+X31+X33+X35+X37+X39+X41+X43+X45+X47+X49</f>
        <v>231824.0527621891</v>
      </c>
      <c r="Y51" s="70"/>
      <c r="Z51" s="289">
        <f>Z3+Z5+Z7+Z9+Z11+Z13+Z15+Z17+Z19+Z21+Z23+Z25+Z27+Z29+Z31+Z33+Z35+Z37+Z39+Z41+Z43+Z45+Z47+Z49</f>
        <v>0</v>
      </c>
      <c r="AA51" s="312">
        <f>AA3+AA5+AA7+AA9+AA11+AA13+AA15+AA17+AA19+AA21+AA23+AA25+AA27+AA29+AA31+AA33+AA35+AA37+AA39+AA41+AA43+AA45+AA47+AA49</f>
        <v>0</v>
      </c>
      <c r="AB51" s="289">
        <f>AB3+AB5+AB7+AB9+AB11+AB13+AB15+AB17+AB19+AB21+AB23+AB25+AB27+AB29+AB31+AB33+AB35+AB37+AB39+AB41+AB43+AB45+AB47+AB49</f>
        <v>0</v>
      </c>
      <c r="AC51" s="312">
        <f>AC3+AC5+AC7+AC9+AC11+AC13+AC15+AC17+AC19+AC21+AC23+AC25+AC27+AC29+AC31+AC33+AC35+AC37+AC39+AC41+AC43+AC45+AC47+AC49</f>
        <v>0</v>
      </c>
      <c r="AD51" s="289">
        <f>AD3+AD5+AD7+AD9+AD11+AD13+AD15+AD17+AD19+AD21+AD23+AD25+AD27+AD29+AD31+AD33+AD35+AD37+AD39+AD41+AD43+AD45+AD47+AD49</f>
        <v>0</v>
      </c>
      <c r="AE51" s="312">
        <f>AE3+AE5+AE7+AE9+AE11+AE13+AE15+AE17+AE19+AE21+AE23+AE25+AE27+AE29+AE31+AE33+AE35+AE37+AE39+AE41+AE43+AE45+AE47+AE49</f>
        <v>0</v>
      </c>
      <c r="AF51" s="70"/>
      <c r="AG51" s="289">
        <f>AG3+AG5+AG7+AG9+AG11+AG13+AG15+AG17+AG19+AG21+AG23+AG25+AG27+AG29+AG31+AG33+AG35+AG37+AG39+AG41+AG43+AG45+AG47+AG49</f>
        <v>769.8</v>
      </c>
      <c r="AH51" s="312">
        <f>AH3+AH5+AH7+AH9+AH11+AH13+AH15+AH17+AH19+AH21+AH23+AH25+AH27+AH29+AH31+AH33+AH35+AH37+AH39+AH41+AH43+AH45+AH47+AH49</f>
        <v>166455.250494688</v>
      </c>
      <c r="AI51" s="289">
        <f>AI3+AI5+AI7+AI9+AI11+AI13+AI15+AI17+AI19+AI21+AI23+AI25+AI27+AI29+AI31+AI33+AI35+AI37+AI39+AI41+AI43+AI45+AI47+AI49</f>
        <v>449.4</v>
      </c>
      <c r="AJ51" s="312">
        <f>AJ3+AJ5+AJ7+AJ9+AJ11+AJ13+AJ15+AJ17+AJ19+AJ21+AJ23+AJ25+AJ27+AJ29+AJ31+AJ33+AJ35+AJ37+AJ39+AJ41+AJ43+AJ45+AJ47+AJ49</f>
        <v>67411.110934284</v>
      </c>
      <c r="AK51" s="289">
        <f>AK3+AK5+AK7+AK9+AK11+AK13+AK15+AK17+AK19+AK21+AK23+AK25+AK27+AK29+AK31+AK33+AK35+AK37+AK39+AK41+AK43+AK45+AK47+AK49</f>
        <v>140</v>
      </c>
      <c r="AL51" s="312">
        <f>AL3+AL5+AL7+AL9+AL11+AL13+AL15+AL17+AL19+AL21+AL23+AL25+AL27+AL29+AL31+AL33+AL35+AL37+AL39+AL41+AL43+AL45+AL47+AL49</f>
        <v>21000.350134400003</v>
      </c>
      <c r="AN51" s="313">
        <f>AL51+AJ51+AH51+AE51+AC51+AA51+X51+V51+T51</f>
        <v>2580991.05470802</v>
      </c>
      <c r="AP51" s="302">
        <f>SUM(AP3:AP49)</f>
        <v>2580991.06770516</v>
      </c>
      <c r="AR51" s="303">
        <f>AN51-AP51</f>
        <v>-0.012997140176594257</v>
      </c>
    </row>
    <row r="52" spans="3:38" ht="12.75">
      <c r="C52" s="291"/>
      <c r="D52" s="292" t="s">
        <v>126</v>
      </c>
      <c r="E52" s="293" t="e">
        <f>COUNTIF(#REF!,"E")</f>
        <v>#REF!</v>
      </c>
      <c r="F52" s="294" t="e">
        <f>COUNTIF(#REF!,"B")+COUNTIF(#REF!,"C")</f>
        <v>#REF!</v>
      </c>
      <c r="G52" s="294" t="e">
        <f>COUNTIF(#REF!,"B")+COUNTIF(#REF!,"C")</f>
        <v>#REF!</v>
      </c>
      <c r="H52" s="294" t="e">
        <f>H53-I52</f>
        <v>#REF!</v>
      </c>
      <c r="I52" s="294">
        <f>SUM(I3:I50)</f>
        <v>0</v>
      </c>
      <c r="J52" s="294">
        <f>SUM(J3:J50)</f>
        <v>0</v>
      </c>
      <c r="K52" s="294">
        <f>SUM(K3:K50)</f>
        <v>0</v>
      </c>
      <c r="N52" s="295"/>
      <c r="O52" s="295"/>
      <c r="P52" s="295"/>
      <c r="Q52" s="295"/>
      <c r="S52" s="295">
        <f>COUNTIF(S3:S50,"&gt;0")</f>
        <v>2</v>
      </c>
      <c r="T52" s="295"/>
      <c r="U52" s="295">
        <f>U4+U6+U8+U10+U12+U14+U16+U18+U20+U22+U24+U26+U28+U30+U32+U34+U36+U38+U40+U42+U44+U46+U48+U50</f>
        <v>8</v>
      </c>
      <c r="V52" s="314">
        <f>V4+V6+V8+V10+V12+V14+V16+V18+V20+V22+V24+V26+V28+V30+V32+V34+V36+V38+V40+V42+V44+V46+V48+V50</f>
        <v>0</v>
      </c>
      <c r="W52" s="295">
        <f>W4+W6+W8+W10+W12+W14+W16+W18+W20+W22+W24+W26+W28+W30+W32+W34+W36+W38+W40+W42+W44+W46+W48+W50</f>
        <v>3</v>
      </c>
      <c r="X52" s="295">
        <f>X4+X6+X8+X10+X12+X14+X16+X18+X20+X22+X24+X26+X28+X30+X32+X34+X36+X38+X40+X42+X44+X46+X48+X50</f>
        <v>0</v>
      </c>
      <c r="Z52" s="295">
        <f>Z4+Z6+Z8+Z10+Z12+Z14+Z16+Z18+Z20+Z22+Z24+Z26+Z28+Z30+Z32+Z34+Z36+Z38+Z40+Z42+Z44+Z46+Z48+Z50</f>
        <v>0</v>
      </c>
      <c r="AA52" s="295">
        <f>AA4+AA6+AA8+AA10+AA12+AA14+AA16+AA18+AA20+AA22+AA24+AA26+AA28+AA30+AA32+AA34+AA36+AA38+AA40+AA42+AA44+AA46+AA48+AA50</f>
        <v>0</v>
      </c>
      <c r="AB52" s="295">
        <f>AB4+AB6+AB8+AB10+AB12+AB14+AB16+AB18+AB20+AB22+AB24+AB26+AB28+AB30+AB32+AB34+AB36+AB38+AB40+AB42+AB44+AB46+AB48+AB50</f>
        <v>0</v>
      </c>
      <c r="AC52" s="295">
        <f>AC4+AC6+AC8+AC10+AC12+AC14+AC16+AC18+AC20+AC22+AC24+AC26+AC28+AC30+AC32+AC34+AC36+AC38+AC40+AC42+AC44+AC46+AC48+AC50</f>
        <v>0</v>
      </c>
      <c r="AD52" s="295">
        <f>AD4+AD6+AD8+AD10+AD12+AD14+AD16+AD18+AD20+AD22+AD24+AD26+AD28+AD30+AD32+AD34+AD36+AD38+AD40+AD42+AD44+AD46+AD48+AD50</f>
        <v>0</v>
      </c>
      <c r="AE52" s="295">
        <f>AE4+AE6+AE8+AE10+AE12+AE14+AE16+AE18+AE20+AE22+AE24+AE26+AE28+AE30+AE32+AE34+AE36+AE38+AE40+AE42+AE44+AE46+AE48+AE50</f>
        <v>0</v>
      </c>
      <c r="AG52" s="295">
        <f>AG4+AG6+AG8+AG10+AG12+AG14+AG16+AG18+AG20+AG22+AG24+AG26+AG28+AG30+AG32+AG34+AG36+AG38+AG40+AG42+AG44+AG46+AG48+AG50</f>
        <v>4</v>
      </c>
      <c r="AH52" s="295">
        <f>AH4+AH6+AH8+AH10+AH12+AH14+AH16+AH18+AH20+AH22+AH24+AH26+AH28+AH30+AH32+AH34+AH36+AH38+AH40+AH42+AH44+AH46+AH48+AH50</f>
        <v>0</v>
      </c>
      <c r="AI52" s="295">
        <f>AI4+AI6+AI8+AI10+AI12+AI14+AI16+AI18+AI20+AI22+AI24+AI26+AI28+AI30+AI32+AI34+AI36+AI38+AI40+AI42+AI44+AI46+AI48+AI50</f>
        <v>4</v>
      </c>
      <c r="AJ52" s="295">
        <f>AJ4+AJ6+AJ8+AJ10+AJ12+AJ14+AJ16+AJ18+AJ20+AJ22+AJ24+AJ26+AJ28+AJ30+AJ32+AJ34+AJ36+AJ38+AJ40+AJ42+AJ44+AJ46+AJ48+AJ50</f>
        <v>0</v>
      </c>
      <c r="AK52" s="295">
        <f>AK4+AK6+AK8+AK10+AK12+AK14+AK16+AK18+AK20+AK22+AK24+AK26+AK28+AK30+AK32+AK34+AK36+AK38+AK40+AK42+AK44+AK46+AK48+AK50</f>
        <v>2</v>
      </c>
      <c r="AL52" s="295">
        <f>AL4+AL6+AL8+AL10+AL12+AL14+AL16+AL18+AL20+AL22+AL24+AL26+AL28+AL30+AL32+AL34+AL36+AL38+AL40+AL42+AL44+AL46+AL48+AL50</f>
        <v>0</v>
      </c>
    </row>
    <row r="53" spans="3:10" ht="12.75">
      <c r="C53" s="151"/>
      <c r="D53" s="151"/>
      <c r="E53" s="151"/>
      <c r="F53" s="296" t="s">
        <v>128</v>
      </c>
      <c r="G53" s="296" t="s">
        <v>128</v>
      </c>
      <c r="H53" s="297" t="e">
        <f>COUNTIF(#REF!,"A")</f>
        <v>#REF!</v>
      </c>
      <c r="I53" s="151"/>
      <c r="J53" s="151"/>
    </row>
    <row r="54" spans="3:10" ht="12.75">
      <c r="C54" s="151"/>
      <c r="D54" s="151"/>
      <c r="E54" s="151"/>
      <c r="F54" s="296" t="s">
        <v>128</v>
      </c>
      <c r="G54" s="296" t="s">
        <v>128</v>
      </c>
      <c r="H54" s="294">
        <f>SUM(H3:H50)</f>
        <v>0</v>
      </c>
      <c r="I54" s="151"/>
      <c r="J54" s="151"/>
    </row>
    <row r="55" spans="3:35" ht="12.75">
      <c r="C55" s="151"/>
      <c r="D55" s="151"/>
      <c r="E55" s="151"/>
      <c r="F55" s="68" t="s">
        <v>131</v>
      </c>
      <c r="G55" s="151"/>
      <c r="H55" s="294" t="e">
        <f>(SUM(#REF!)/DATI!$E$14)</f>
        <v>#REF!</v>
      </c>
      <c r="I55" s="151"/>
      <c r="J55" s="151"/>
      <c r="AG55" s="264">
        <f>$AJ$51+$AH$51+$AL$51+$AE$51+$AC$51+$AA$51+$X$51+$V$51+$T$51</f>
        <v>2580991.05470802</v>
      </c>
      <c r="AH55" s="264" t="e">
        <f>#REF!</f>
        <v>#REF!</v>
      </c>
      <c r="AI55" s="264" t="e">
        <f>AG55-AH55</f>
        <v>#REF!</v>
      </c>
    </row>
    <row r="56" spans="3:13" ht="12.75">
      <c r="C56" s="151"/>
      <c r="D56" s="151"/>
      <c r="E56" s="151"/>
      <c r="F56" s="151"/>
      <c r="G56" s="151"/>
      <c r="H56" s="151"/>
      <c r="I56" s="151"/>
      <c r="J56" s="71"/>
      <c r="K56" s="71"/>
      <c r="L56" s="71"/>
      <c r="M56" s="71"/>
    </row>
    <row r="57" spans="3:13" ht="12.7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3:13" ht="12.7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3:13" ht="12.7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</sheetData>
  <sheetProtection selectLockedCells="1" selectUnlockedCells="1"/>
  <mergeCells count="3">
    <mergeCell ref="F1:H1"/>
    <mergeCell ref="I1:J1"/>
    <mergeCell ref="S1:A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zoomScaleSheetLayoutView="100" workbookViewId="0" topLeftCell="A1">
      <selection activeCell="K27" sqref="K27"/>
    </sheetView>
  </sheetViews>
  <sheetFormatPr defaultColWidth="9.140625" defaultRowHeight="12.75"/>
  <cols>
    <col min="1" max="2" width="8.8515625" style="62" customWidth="1"/>
    <col min="3" max="3" width="11.7109375" style="62" customWidth="1"/>
    <col min="4" max="16384" width="8.8515625" style="62" customWidth="1"/>
  </cols>
  <sheetData>
    <row r="1" spans="1:5" ht="12.75">
      <c r="A1" s="63" t="s">
        <v>20</v>
      </c>
      <c r="B1" s="63"/>
      <c r="C1" s="63"/>
      <c r="D1" s="63"/>
      <c r="E1" s="63"/>
    </row>
    <row r="4" spans="1:7" ht="12.75">
      <c r="A4" s="64" t="s">
        <v>21</v>
      </c>
      <c r="B4" s="64"/>
      <c r="C4" s="64"/>
      <c r="D4" s="64"/>
      <c r="E4" s="65">
        <v>225.86</v>
      </c>
      <c r="F4" s="64" t="s">
        <v>22</v>
      </c>
      <c r="G4" s="62">
        <v>225.86</v>
      </c>
    </row>
    <row r="5" spans="1:6" ht="12.75">
      <c r="A5" s="64" t="s">
        <v>23</v>
      </c>
      <c r="B5" s="64"/>
      <c r="C5" s="64"/>
      <c r="D5" s="64"/>
      <c r="E5" s="65">
        <v>21.36</v>
      </c>
      <c r="F5" s="64" t="s">
        <v>24</v>
      </c>
    </row>
    <row r="7" spans="1:7" ht="12.75">
      <c r="A7" s="64" t="s">
        <v>25</v>
      </c>
      <c r="B7" s="64"/>
      <c r="C7" s="64"/>
      <c r="D7" s="64"/>
      <c r="E7" s="64">
        <v>1276.64</v>
      </c>
      <c r="F7" s="64" t="s">
        <v>22</v>
      </c>
      <c r="G7" s="62" t="s">
        <v>26</v>
      </c>
    </row>
    <row r="8" spans="1:9" ht="12.75">
      <c r="A8" s="64" t="s">
        <v>25</v>
      </c>
      <c r="B8" s="64"/>
      <c r="C8" s="64"/>
      <c r="D8" s="64"/>
      <c r="E8" s="64">
        <v>2127.67</v>
      </c>
      <c r="F8" s="64" t="s">
        <v>22</v>
      </c>
      <c r="G8" s="62" t="s">
        <v>27</v>
      </c>
      <c r="I8" s="62" t="s">
        <v>28</v>
      </c>
    </row>
    <row r="9" spans="1:7" ht="12.75">
      <c r="A9" s="64" t="s">
        <v>25</v>
      </c>
      <c r="B9" s="64"/>
      <c r="C9" s="64"/>
      <c r="D9" s="64"/>
      <c r="E9" s="64">
        <v>2553.28</v>
      </c>
      <c r="F9" s="64" t="s">
        <v>22</v>
      </c>
      <c r="G9" s="62" t="s">
        <v>29</v>
      </c>
    </row>
    <row r="10" spans="1:6" ht="12.75">
      <c r="A10" s="64"/>
      <c r="B10" s="64"/>
      <c r="C10" s="64"/>
      <c r="D10" s="64"/>
      <c r="E10" s="64"/>
      <c r="F10" s="64"/>
    </row>
    <row r="13" spans="1:7" ht="12.75">
      <c r="A13" s="64" t="s">
        <v>30</v>
      </c>
      <c r="B13" s="66"/>
      <c r="C13" s="66"/>
      <c r="D13" s="66"/>
      <c r="E13" s="66">
        <v>0.85</v>
      </c>
      <c r="F13" s="66"/>
      <c r="G13" s="66"/>
    </row>
    <row r="14" spans="1:7" ht="12.75">
      <c r="A14" s="64" t="s">
        <v>31</v>
      </c>
      <c r="B14" s="66"/>
      <c r="C14" s="66"/>
      <c r="D14" s="66"/>
      <c r="E14" s="66">
        <v>0.85</v>
      </c>
      <c r="F14" s="66"/>
      <c r="G14" s="66"/>
    </row>
    <row r="15" spans="1:5" ht="12.75">
      <c r="A15" s="64" t="s">
        <v>32</v>
      </c>
      <c r="B15" s="66"/>
      <c r="C15" s="66"/>
      <c r="D15" s="66"/>
      <c r="E15" s="67">
        <v>0.4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zoomScaleSheetLayoutView="70" workbookViewId="0" topLeftCell="A1">
      <selection activeCell="K15" sqref="K15"/>
    </sheetView>
  </sheetViews>
  <sheetFormatPr defaultColWidth="9.140625" defaultRowHeight="12.75"/>
  <cols>
    <col min="1" max="2" width="8.8515625" style="62" customWidth="1"/>
    <col min="3" max="3" width="11.7109375" style="62" customWidth="1"/>
    <col min="4" max="16384" width="8.8515625" style="62" customWidth="1"/>
  </cols>
  <sheetData>
    <row r="1" spans="1:5" ht="12.75">
      <c r="A1" s="63" t="s">
        <v>20</v>
      </c>
      <c r="B1" s="63"/>
      <c r="C1" s="63"/>
      <c r="D1" s="63"/>
      <c r="E1" s="63"/>
    </row>
    <row r="4" spans="1:7" ht="12.75">
      <c r="A4" s="64" t="s">
        <v>21</v>
      </c>
      <c r="B4" s="64"/>
      <c r="C4" s="64"/>
      <c r="D4" s="64"/>
      <c r="E4" s="65">
        <v>225.86</v>
      </c>
      <c r="F4" s="64" t="s">
        <v>22</v>
      </c>
      <c r="G4" s="62">
        <v>225.86</v>
      </c>
    </row>
    <row r="5" spans="1:6" ht="12.75">
      <c r="A5" s="64" t="s">
        <v>23</v>
      </c>
      <c r="B5" s="64"/>
      <c r="C5" s="64"/>
      <c r="D5" s="64"/>
      <c r="E5" s="65">
        <v>21.36</v>
      </c>
      <c r="F5" s="64" t="s">
        <v>24</v>
      </c>
    </row>
    <row r="7" spans="1:7" ht="12.75">
      <c r="A7" s="64" t="s">
        <v>25</v>
      </c>
      <c r="B7" s="64"/>
      <c r="C7" s="64"/>
      <c r="D7" s="64"/>
      <c r="E7" s="64">
        <v>1276.64</v>
      </c>
      <c r="F7" s="64" t="s">
        <v>22</v>
      </c>
      <c r="G7" s="62" t="s">
        <v>26</v>
      </c>
    </row>
    <row r="8" spans="1:9" ht="12.75">
      <c r="A8" s="64" t="s">
        <v>25</v>
      </c>
      <c r="B8" s="64"/>
      <c r="C8" s="64"/>
      <c r="D8" s="64"/>
      <c r="E8" s="64">
        <v>2127.67</v>
      </c>
      <c r="F8" s="64" t="s">
        <v>22</v>
      </c>
      <c r="G8" s="62" t="s">
        <v>27</v>
      </c>
      <c r="I8" s="62" t="s">
        <v>28</v>
      </c>
    </row>
    <row r="9" spans="1:7" ht="12.75">
      <c r="A9" s="64" t="s">
        <v>25</v>
      </c>
      <c r="B9" s="64"/>
      <c r="C9" s="64"/>
      <c r="D9" s="64"/>
      <c r="E9" s="64">
        <v>2553.28</v>
      </c>
      <c r="F9" s="64" t="s">
        <v>22</v>
      </c>
      <c r="G9" s="62" t="s">
        <v>29</v>
      </c>
    </row>
    <row r="10" spans="1:6" ht="12.75">
      <c r="A10" s="64"/>
      <c r="B10" s="64"/>
      <c r="C10" s="64"/>
      <c r="D10" s="64"/>
      <c r="E10" s="64"/>
      <c r="F10" s="64"/>
    </row>
    <row r="13" spans="1:7" ht="12.75">
      <c r="A13" s="64" t="s">
        <v>30</v>
      </c>
      <c r="B13" s="66"/>
      <c r="C13" s="66"/>
      <c r="D13" s="66"/>
      <c r="E13" s="66">
        <v>0.85</v>
      </c>
      <c r="F13" s="66"/>
      <c r="G13" s="66"/>
    </row>
    <row r="14" spans="1:7" ht="12.75">
      <c r="A14" s="64" t="s">
        <v>31</v>
      </c>
      <c r="B14" s="66"/>
      <c r="C14" s="66"/>
      <c r="D14" s="66"/>
      <c r="E14" s="66">
        <v>0.85</v>
      </c>
      <c r="F14" s="66"/>
      <c r="G14" s="66"/>
    </row>
    <row r="15" spans="1:5" ht="12.75">
      <c r="A15" s="64" t="s">
        <v>32</v>
      </c>
      <c r="B15" s="66"/>
      <c r="C15" s="66"/>
      <c r="D15" s="66"/>
      <c r="E15" s="67">
        <v>0.4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9"/>
  <sheetViews>
    <sheetView zoomScale="75" zoomScaleNormal="75" zoomScaleSheetLayoutView="70" workbookViewId="0" topLeftCell="BD23">
      <selection activeCell="BM32" sqref="BM32"/>
    </sheetView>
  </sheetViews>
  <sheetFormatPr defaultColWidth="9.140625" defaultRowHeight="12.75"/>
  <cols>
    <col min="1" max="1" width="12.140625" style="68" customWidth="1"/>
    <col min="2" max="2" width="7.57421875" style="68" customWidth="1"/>
    <col min="3" max="3" width="10.140625" style="68" customWidth="1"/>
    <col min="4" max="5" width="10.421875" style="68" customWidth="1"/>
    <col min="6" max="6" width="7.7109375" style="68" customWidth="1"/>
    <col min="7" max="7" width="14.57421875" style="68" customWidth="1"/>
    <col min="8" max="9" width="13.00390625" style="68" customWidth="1"/>
    <col min="10" max="10" width="22.140625" style="68" customWidth="1"/>
    <col min="11" max="12" width="8.28125" style="68" customWidth="1"/>
    <col min="13" max="13" width="11.28125" style="68" customWidth="1"/>
    <col min="14" max="14" width="12.57421875" style="69" customWidth="1"/>
    <col min="15" max="15" width="25.28125" style="69" customWidth="1"/>
    <col min="16" max="16" width="16.57421875" style="69" customWidth="1"/>
    <col min="17" max="17" width="15.28125" style="69" customWidth="1"/>
    <col min="18" max="18" width="14.8515625" style="69" customWidth="1"/>
    <col min="19" max="19" width="18.140625" style="69" customWidth="1"/>
    <col min="20" max="20" width="27.140625" style="69" customWidth="1"/>
    <col min="21" max="21" width="21.7109375" style="68" customWidth="1"/>
    <col min="22" max="22" width="20.7109375" style="68" customWidth="1"/>
    <col min="23" max="23" width="19.7109375" style="68" customWidth="1"/>
    <col min="24" max="24" width="21.140625" style="68" customWidth="1"/>
    <col min="25" max="25" width="19.8515625" style="68" customWidth="1"/>
    <col min="26" max="26" width="10.421875" style="68" customWidth="1"/>
    <col min="27" max="28" width="21.57421875" style="68" customWidth="1"/>
    <col min="29" max="29" width="21.140625" style="68" customWidth="1"/>
    <col min="30" max="31" width="1.421875" style="68" customWidth="1"/>
    <col min="32" max="32" width="12.28125" style="68" customWidth="1"/>
    <col min="33" max="33" width="7.7109375" style="68" customWidth="1"/>
    <col min="34" max="34" width="12.421875" style="68" customWidth="1"/>
    <col min="35" max="35" width="12.140625" style="68" customWidth="1"/>
    <col min="36" max="36" width="9.28125" style="68" customWidth="1"/>
    <col min="37" max="37" width="15.28125" style="68" customWidth="1"/>
    <col min="38" max="38" width="12.7109375" style="68" customWidth="1"/>
    <col min="39" max="39" width="11.00390625" style="68" customWidth="1"/>
    <col min="40" max="40" width="12.140625" style="68" customWidth="1"/>
    <col min="41" max="46" width="8.8515625" style="68" customWidth="1"/>
    <col min="47" max="47" width="8.8515625" style="70" customWidth="1"/>
    <col min="48" max="50" width="8.8515625" style="68" customWidth="1"/>
    <col min="51" max="51" width="13.8515625" style="68" customWidth="1"/>
    <col min="52" max="52" width="8.8515625" style="68" customWidth="1"/>
    <col min="53" max="53" width="13.00390625" style="68" customWidth="1"/>
    <col min="54" max="61" width="8.8515625" style="68" customWidth="1"/>
    <col min="62" max="62" width="15.57421875" style="68" customWidth="1"/>
    <col min="63" max="63" width="15.28125" style="68" customWidth="1"/>
    <col min="64" max="64" width="14.00390625" style="68" customWidth="1"/>
    <col min="65" max="65" width="15.140625" style="68" customWidth="1"/>
    <col min="66" max="66" width="8.8515625" style="68" customWidth="1"/>
    <col min="67" max="67" width="15.28125" style="68" customWidth="1"/>
    <col min="68" max="16384" width="8.8515625" style="68" customWidth="1"/>
  </cols>
  <sheetData>
    <row r="1" spans="32:42" ht="12.75"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</row>
    <row r="2" spans="4:42" ht="36" customHeight="1"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 t="s">
        <v>33</v>
      </c>
      <c r="P2" s="74"/>
      <c r="Q2" s="73"/>
      <c r="R2" s="73"/>
      <c r="S2" s="73" t="s">
        <v>34</v>
      </c>
      <c r="T2" s="73" t="s">
        <v>35</v>
      </c>
      <c r="U2" s="73" t="s">
        <v>36</v>
      </c>
      <c r="V2" s="73" t="s">
        <v>37</v>
      </c>
      <c r="W2" s="73"/>
      <c r="X2" s="73"/>
      <c r="Y2" s="73"/>
      <c r="Z2" s="73"/>
      <c r="AA2" s="73"/>
      <c r="AB2" s="73"/>
      <c r="AC2" s="75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4:42" ht="25.5" customHeight="1">
      <c r="D3" s="76" t="s">
        <v>38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 t="s">
        <v>39</v>
      </c>
      <c r="V3" s="76"/>
      <c r="W3" s="76"/>
      <c r="X3" s="76"/>
      <c r="Y3" s="76"/>
      <c r="Z3" s="76"/>
      <c r="AA3" s="76"/>
      <c r="AB3" s="76"/>
      <c r="AC3" s="76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47" s="88" customFormat="1" ht="75" customHeight="1">
      <c r="A4" s="77" t="s">
        <v>40</v>
      </c>
      <c r="B4" s="77" t="s">
        <v>41</v>
      </c>
      <c r="C4" s="78" t="s">
        <v>42</v>
      </c>
      <c r="D4" s="79" t="s">
        <v>43</v>
      </c>
      <c r="E4" s="80" t="s">
        <v>44</v>
      </c>
      <c r="F4" s="80" t="s">
        <v>45</v>
      </c>
      <c r="G4" s="80" t="s">
        <v>46</v>
      </c>
      <c r="H4" s="80" t="s">
        <v>47</v>
      </c>
      <c r="I4" s="80" t="s">
        <v>48</v>
      </c>
      <c r="J4" s="80" t="s">
        <v>49</v>
      </c>
      <c r="K4" s="80" t="s">
        <v>50</v>
      </c>
      <c r="L4" s="80" t="s">
        <v>51</v>
      </c>
      <c r="M4" s="81" t="s">
        <v>52</v>
      </c>
      <c r="N4" s="82" t="s">
        <v>53</v>
      </c>
      <c r="O4" s="82" t="s">
        <v>54</v>
      </c>
      <c r="P4" s="82" t="s">
        <v>55</v>
      </c>
      <c r="Q4" s="82" t="s">
        <v>56</v>
      </c>
      <c r="R4" s="82" t="s">
        <v>57</v>
      </c>
      <c r="S4" s="82" t="s">
        <v>58</v>
      </c>
      <c r="T4" s="83" t="s">
        <v>59</v>
      </c>
      <c r="U4" s="82" t="s">
        <v>60</v>
      </c>
      <c r="V4" s="82" t="s">
        <v>61</v>
      </c>
      <c r="W4" s="82" t="s">
        <v>62</v>
      </c>
      <c r="X4" s="82" t="s">
        <v>63</v>
      </c>
      <c r="Y4" s="82" t="s">
        <v>28</v>
      </c>
      <c r="Z4" s="82" t="s">
        <v>64</v>
      </c>
      <c r="AA4" s="82" t="s">
        <v>65</v>
      </c>
      <c r="AB4" s="84" t="s">
        <v>66</v>
      </c>
      <c r="AC4" s="85" t="s">
        <v>67</v>
      </c>
      <c r="AD4" s="86"/>
      <c r="AE4" s="86"/>
      <c r="AF4" s="86"/>
      <c r="AG4" s="86"/>
      <c r="AH4" s="86"/>
      <c r="AI4" s="86"/>
      <c r="AJ4" s="86"/>
      <c r="AK4" s="87"/>
      <c r="AL4" s="86"/>
      <c r="AM4" s="86"/>
      <c r="AN4" s="86"/>
      <c r="AO4" s="86"/>
      <c r="AP4" s="86"/>
      <c r="AU4" s="89"/>
    </row>
    <row r="5" spans="1:42" ht="24" customHeight="1">
      <c r="A5" s="90">
        <f>COUNTIF(N5:N19,"E")</f>
        <v>2</v>
      </c>
      <c r="B5" s="90">
        <v>1</v>
      </c>
      <c r="C5" s="91" t="s">
        <v>68</v>
      </c>
      <c r="D5" s="92">
        <v>26</v>
      </c>
      <c r="E5" s="93" t="s">
        <v>69</v>
      </c>
      <c r="F5" s="94">
        <v>1</v>
      </c>
      <c r="G5" s="95"/>
      <c r="H5" s="96" t="s">
        <v>70</v>
      </c>
      <c r="I5" s="97" t="s">
        <v>71</v>
      </c>
      <c r="J5" s="98"/>
      <c r="K5" s="99">
        <v>1.6</v>
      </c>
      <c r="L5" s="99">
        <v>5</v>
      </c>
      <c r="M5" s="99">
        <v>1</v>
      </c>
      <c r="N5" s="100" t="s">
        <v>72</v>
      </c>
      <c r="O5" s="101"/>
      <c r="P5" s="102">
        <v>70</v>
      </c>
      <c r="Q5" s="103">
        <f>IF(P5&gt;0,(P5*K5),"")</f>
        <v>112</v>
      </c>
      <c r="R5" s="103">
        <f>IF(N5&lt;&gt;"",Q5*DATI!$E$13-S5,"0,00")</f>
        <v>95.2</v>
      </c>
      <c r="S5" s="102">
        <v>0</v>
      </c>
      <c r="T5" s="104">
        <f>IF(OR(R5&gt;0,S5&gt;0),(R5+S5*0.6),"")</f>
        <v>95.2</v>
      </c>
      <c r="U5" s="105" t="str">
        <f>IF($A$5&gt;0," ",IF(AND(N5="A",F5&gt;0),(9687.52)*F5,IF(AND($A$5=0,C5="S",N5="A",F5=1),9687.52," ")))</f>
        <v> </v>
      </c>
      <c r="V5" s="106">
        <f>IF(AND(N5="A",F5&gt;=0,C5="s",$A$5&gt;0),9687.52*F5+114.01*Q5," ")</f>
        <v>22456.64</v>
      </c>
      <c r="W5" s="107" t="str">
        <f>IF(AND(OR(N5="B",N5="C"),$A$5=0,$C$5="N"),116.25*Q5+'[1]DATI'!$E$4*Q5,IF(AND(OR(N5="B",N5="C"),$A$5=0,$C$5="S"),114.01*Q5+'[1]DATI'!$E$4*Q5," "))</f>
        <v> </v>
      </c>
      <c r="X5" s="106" t="str">
        <f>IF(AND(OR(N5="B",N5="C"),C5="s",$A$5&gt;0),114.01*1.3*Q5+1.3*'[1]DATI'!$E$4*Q5," ")</f>
        <v> </v>
      </c>
      <c r="Y5" s="106" t="str">
        <f>IF(N5="E",IF(M5=1,'[1]DATI'!$E$7*T5,IF(M5=2,'[1]DATI'!$E$8*T5,IF(M5=3,'[1]DATI'!$E$9*T5)))*B5," ")</f>
        <v> </v>
      </c>
      <c r="Z5" s="108"/>
      <c r="AA5" s="109">
        <f>IF(Z5="X",'[1]DATI'!$E$5*P5*L5,"")</f>
      </c>
      <c r="AB5" s="110">
        <f>IF(G5="X",-SUM(U5:Y5)*'[1]DATI'!$E$15,"")</f>
      </c>
      <c r="AC5" s="111">
        <f>SUM(U5:AB5)</f>
        <v>22456.64</v>
      </c>
      <c r="AD5" s="71"/>
      <c r="AE5" s="71"/>
      <c r="AF5" s="71"/>
      <c r="AG5" s="71"/>
      <c r="AH5" s="71"/>
      <c r="AI5" s="71"/>
      <c r="AJ5" s="71"/>
      <c r="AK5" s="112"/>
      <c r="AL5" s="71"/>
      <c r="AM5" s="71"/>
      <c r="AN5" s="71"/>
      <c r="AO5" s="71"/>
      <c r="AP5" s="71"/>
    </row>
    <row r="6" spans="1:42" ht="19.5" customHeight="1">
      <c r="A6" s="113"/>
      <c r="B6" s="90">
        <v>1</v>
      </c>
      <c r="C6" s="91" t="s">
        <v>68</v>
      </c>
      <c r="D6" s="114">
        <v>26</v>
      </c>
      <c r="E6" s="115" t="s">
        <v>73</v>
      </c>
      <c r="F6" s="116">
        <v>0</v>
      </c>
      <c r="G6" s="117"/>
      <c r="H6" s="118" t="s">
        <v>74</v>
      </c>
      <c r="I6" s="119" t="s">
        <v>75</v>
      </c>
      <c r="J6" s="120"/>
      <c r="K6" s="121">
        <v>1</v>
      </c>
      <c r="L6" s="121">
        <v>3</v>
      </c>
      <c r="M6" s="121">
        <v>1</v>
      </c>
      <c r="N6" s="122" t="s">
        <v>72</v>
      </c>
      <c r="O6" s="123"/>
      <c r="P6" s="124">
        <v>70</v>
      </c>
      <c r="Q6" s="125">
        <f>IF(P6&gt;0,(P6*K6),"")</f>
        <v>70</v>
      </c>
      <c r="R6" s="125">
        <f>IF(N6&lt;&gt;"",Q6*DATI!$E$13-S6,"0,00")</f>
        <v>0</v>
      </c>
      <c r="S6" s="124">
        <v>59.5</v>
      </c>
      <c r="T6" s="126">
        <f>IF(OR(R6&gt;0,S6&gt;0),(R6+S6*0.6),"")</f>
        <v>35.699999999999996</v>
      </c>
      <c r="U6" s="127" t="str">
        <f>IF($A$5&gt;0," ",IF(AND(N6="A",F6&gt;0),(9687.52)*F6,IF(AND($A$5=0,C6="S",N6="A",F6=1),9687.52," ")))</f>
        <v> </v>
      </c>
      <c r="V6" s="128">
        <f>IF(AND(N6="A",F6&gt;=0,C6="s",$A$5&gt;0),9687.52*F6+114.01*Q6," ")</f>
        <v>7980.700000000001</v>
      </c>
      <c r="W6" s="129" t="str">
        <f>IF(AND(OR(N6="B",N6="C"),$A$5=0,$C$5="N"),116.25*Q6+'[1]DATI'!$E$4*Q6,IF(AND(OR(N6="B",N6="C"),$A$5=0,$C$5="S"),114.01*Q6+'[1]DATI'!$E$4*Q6," "))</f>
        <v> </v>
      </c>
      <c r="X6" s="128" t="str">
        <f>IF(AND(OR(N6="B",N6="C"),C6="s",$A$5&gt;0),114.01*1.3*Q6+1.3*'[1]DATI'!$E$4*Q6," ")</f>
        <v> </v>
      </c>
      <c r="Y6" s="128" t="str">
        <f>IF(N6="E",IF(M6=1,'[1]DATI'!$E$7*T6,IF(M6=2,'[1]DATI'!$E$8*T6,IF(M6=3,'[1]DATI'!$E$9*T6)))*B6," ")</f>
        <v> </v>
      </c>
      <c r="Z6" s="130"/>
      <c r="AA6" s="131">
        <f>IF(Z6="X",'[1]DATI'!$E$5*P6*L6,"")</f>
      </c>
      <c r="AB6" s="132">
        <f>IF(G6="X",-SUM(U6:Y6)*'[1]DATI'!$E$15,"")</f>
      </c>
      <c r="AC6" s="133">
        <f>SUM(U6:AB6)</f>
        <v>7980.700000000001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42" ht="19.5" customHeight="1">
      <c r="A7" s="113"/>
      <c r="B7" s="90">
        <v>1</v>
      </c>
      <c r="C7" s="91" t="s">
        <v>68</v>
      </c>
      <c r="D7" s="134">
        <v>62</v>
      </c>
      <c r="E7" s="135" t="s">
        <v>69</v>
      </c>
      <c r="F7" s="136">
        <v>0</v>
      </c>
      <c r="G7" s="137"/>
      <c r="H7" s="138" t="s">
        <v>76</v>
      </c>
      <c r="I7" s="138" t="s">
        <v>71</v>
      </c>
      <c r="J7" s="139"/>
      <c r="K7" s="140">
        <v>2</v>
      </c>
      <c r="L7" s="140">
        <v>6.5</v>
      </c>
      <c r="M7" s="140">
        <v>1</v>
      </c>
      <c r="N7" s="141" t="s">
        <v>77</v>
      </c>
      <c r="O7" s="142"/>
      <c r="P7" s="143">
        <v>62</v>
      </c>
      <c r="Q7" s="125">
        <f>IF(P7&gt;0,(P7*K7),"")</f>
        <v>124</v>
      </c>
      <c r="R7" s="125">
        <f>IF(N7&lt;&gt;"",Q7*DATI!$E$13-S7,"0,00")</f>
        <v>105.39999999999999</v>
      </c>
      <c r="S7" s="143">
        <v>0</v>
      </c>
      <c r="T7" s="126">
        <f>IF(OR(R7&gt;0,S7&gt;0),(R7+S7*0.6),"")</f>
        <v>105.39999999999999</v>
      </c>
      <c r="U7" s="144" t="str">
        <f>IF($A$5&gt;0," ",IF(AND(N7="A",F7&gt;0),(9687.52)*F7,IF(AND($A$5=0,C7="S",N7="A",F7=1),9687.52," ")))</f>
        <v> </v>
      </c>
      <c r="V7" s="128" t="str">
        <f>IF(AND(N7="A",F7&gt;=0,C7="s",$A$5&gt;0),9687.52*F7+114.01*Q7," ")</f>
        <v> </v>
      </c>
      <c r="W7" s="145" t="str">
        <f>IF(AND(OR(N7="B",N7="C"),$A$5=0,$C$5="N"),116.25*Q7+'[1]DATI'!$E$4*Q7,IF(AND(OR(N7="B",N7="C"),$A$5=0,$C$5="S"),114.01*Q7+'[1]DATI'!$E$4*Q7," "))</f>
        <v> </v>
      </c>
      <c r="X7" s="128" t="str">
        <f>IF(AND(OR(N7="B",N7="C"),C7="s",$A$5&gt;0),114.01*1.3*Q7+1.3*'[1]DATI'!$E$4*Q7," ")</f>
        <v> </v>
      </c>
      <c r="Y7" s="128">
        <f>IF(N7="E",IF(M7=1,'[1]DATI'!$E$7*T7,IF(M7=2,'[1]DATI'!$E$8*T7,IF(M7=3,'[1]DATI'!$E$9*T7)))*B7," ")</f>
        <v>134557.856</v>
      </c>
      <c r="Z7" s="130"/>
      <c r="AA7" s="131">
        <f>IF(Z7="X",'[1]DATI'!$E$5*P7*L7,"")</f>
      </c>
      <c r="AB7" s="132">
        <f>IF(G7="X",-SUM(U7:Y7)*'[1]DATI'!$E$15,"")</f>
      </c>
      <c r="AC7" s="133">
        <f>SUM(U7:AB7)</f>
        <v>134557.856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spans="1:42" ht="27" customHeight="1">
      <c r="A8" s="113"/>
      <c r="B8" s="90">
        <v>1</v>
      </c>
      <c r="C8" s="91" t="s">
        <v>68</v>
      </c>
      <c r="D8" s="134">
        <v>62</v>
      </c>
      <c r="E8" s="135" t="s">
        <v>73</v>
      </c>
      <c r="F8" s="136">
        <v>0</v>
      </c>
      <c r="G8" s="137"/>
      <c r="H8" s="118" t="s">
        <v>74</v>
      </c>
      <c r="I8" s="138" t="s">
        <v>75</v>
      </c>
      <c r="J8" s="139"/>
      <c r="K8" s="140">
        <v>1</v>
      </c>
      <c r="L8" s="140">
        <v>3</v>
      </c>
      <c r="M8" s="140">
        <v>1</v>
      </c>
      <c r="N8" s="141" t="s">
        <v>77</v>
      </c>
      <c r="O8" s="142"/>
      <c r="P8" s="143">
        <v>62</v>
      </c>
      <c r="Q8" s="125">
        <f>IF(P8&gt;0,(P8*K8),"")</f>
        <v>62</v>
      </c>
      <c r="R8" s="125">
        <f>IF(N8&lt;&gt;"",Q8*DATI!$E$13-S8,"0,00")</f>
        <v>0.9999999999999929</v>
      </c>
      <c r="S8" s="143">
        <v>51.7</v>
      </c>
      <c r="T8" s="126">
        <f>IF(OR(R8&gt;0,S8&gt;0),(R8+S8*0.6),"")</f>
        <v>32.019999999999996</v>
      </c>
      <c r="U8" s="144" t="str">
        <f>IF($A$5&gt;0," ",IF(AND(N8="A",F8&gt;0),(9687.52)*F8,IF(AND($A$5=0,C8="S",N8="A",F8=1),9687.52," ")))</f>
        <v> </v>
      </c>
      <c r="V8" s="128" t="str">
        <f>IF(AND(N8="A",F8&gt;=0,C8="s",$A$5&gt;0),9687.52*F8+114.01*Q8," ")</f>
        <v> </v>
      </c>
      <c r="W8" s="145" t="str">
        <f>IF(AND(OR(N8="B",N8="C"),$A$5=0,$C$5="N"),116.25*Q8+'[1]DATI'!$E$4*Q8,IF(AND(OR(N8="B",N8="C"),$A$5=0,$C$5="S"),114.01*Q8+'[1]DATI'!$E$4*Q8," "))</f>
        <v> </v>
      </c>
      <c r="X8" s="128" t="str">
        <f>IF(AND(OR(N8="B",N8="C"),C8="s",$A$5&gt;0),114.01*1.3*Q8+1.3*'[1]DATI'!$E$4*Q8," ")</f>
        <v> </v>
      </c>
      <c r="Y8" s="128">
        <f>IF(N8="E",IF(M8=1,'[1]DATI'!$E$7*T8,IF(M8=2,'[1]DATI'!$E$8*T8,IF(M8=3,'[1]DATI'!$E$9*T8)))*B8," ")</f>
        <v>40878.0128</v>
      </c>
      <c r="Z8" s="130"/>
      <c r="AA8" s="131">
        <f>IF(Z8="X",'[1]DATI'!$E$5*P8*L8,"")</f>
      </c>
      <c r="AB8" s="132">
        <f>IF(G8="X",-SUM(U8:Y8)*'[1]DATI'!$E$15,"")</f>
      </c>
      <c r="AC8" s="133">
        <f>SUM(U8:AB8)</f>
        <v>40878.0128</v>
      </c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1:42" ht="21" customHeight="1">
      <c r="A9" s="113"/>
      <c r="B9" s="90">
        <v>1</v>
      </c>
      <c r="C9" s="91" t="s">
        <v>68</v>
      </c>
      <c r="D9" s="134">
        <v>77</v>
      </c>
      <c r="E9" s="135" t="s">
        <v>69</v>
      </c>
      <c r="F9" s="136">
        <v>0</v>
      </c>
      <c r="G9" s="137"/>
      <c r="H9" s="118" t="s">
        <v>70</v>
      </c>
      <c r="I9" s="138" t="s">
        <v>71</v>
      </c>
      <c r="J9" s="139"/>
      <c r="K9" s="140">
        <v>2</v>
      </c>
      <c r="L9" s="140">
        <v>6.5</v>
      </c>
      <c r="M9" s="140">
        <v>1</v>
      </c>
      <c r="N9" s="141" t="s">
        <v>72</v>
      </c>
      <c r="O9" s="142"/>
      <c r="P9" s="146">
        <v>38</v>
      </c>
      <c r="Q9" s="125">
        <f>IF(P9&gt;0,(P9*K9),"")</f>
        <v>76</v>
      </c>
      <c r="R9" s="125">
        <f>IF(N9&lt;&gt;"",Q9*DATI!$E$13-S9,"0,00")</f>
        <v>64.6</v>
      </c>
      <c r="S9" s="143">
        <v>0</v>
      </c>
      <c r="T9" s="126">
        <f>IF(OR(R9&gt;0,S9&gt;0),(R9+S9*0.6),"")</f>
        <v>64.6</v>
      </c>
      <c r="U9" s="144" t="str">
        <f>IF($A$5&gt;0," ",IF(AND(N9="A",F9&gt;0),(9687.52)*F9,IF(AND($A$5=0,C9="S",N9="A",F9=1),9687.52," ")))</f>
        <v> </v>
      </c>
      <c r="V9" s="128">
        <f>IF(AND(N9="A",F9&gt;=0,C9="s",$A$5&gt;0),9687.52*F9+114.01*Q9," ")</f>
        <v>8664.76</v>
      </c>
      <c r="W9" s="145" t="str">
        <f>IF(AND(OR(N9="B",N9="C"),$A$5=0,$C$5="N"),116.25*Q9+'[1]DATI'!$E$4*Q9,IF(AND(OR(N9="B",N9="C"),$A$5=0,$C$5="S"),114.01*Q9+'[1]DATI'!$E$4*Q9," "))</f>
        <v> </v>
      </c>
      <c r="X9" s="128" t="str">
        <f>IF(AND(OR(N9="B",N9="C"),C9="s",$A$5&gt;0),114.01*1.3*Q9+1.3*'[1]DATI'!$E$4*Q9," ")</f>
        <v> </v>
      </c>
      <c r="Y9" s="128" t="str">
        <f>IF(N9="E",IF(M9=1,'[1]DATI'!$E$7*T9,IF(M9=2,'[1]DATI'!$E$8*T9,IF(M9=3,'[1]DATI'!$E$9*T9)))*B9," ")</f>
        <v> </v>
      </c>
      <c r="Z9" s="130"/>
      <c r="AA9" s="131">
        <f>IF(Z9="X",'[1]DATI'!$E$5*P9*L9,"")</f>
      </c>
      <c r="AB9" s="132">
        <f>IF(G9="X",-SUM(U9:Y9)*'[1]DATI'!$E$15,"")</f>
      </c>
      <c r="AC9" s="133">
        <f>SUM(U9:AB9)</f>
        <v>8664.76</v>
      </c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ht="19.5" customHeight="1">
      <c r="A10" s="113"/>
      <c r="B10" s="90">
        <v>1</v>
      </c>
      <c r="C10" s="91" t="s">
        <v>68</v>
      </c>
      <c r="D10" s="134">
        <v>77</v>
      </c>
      <c r="E10" s="135" t="s">
        <v>73</v>
      </c>
      <c r="F10" s="136">
        <v>0</v>
      </c>
      <c r="G10" s="137"/>
      <c r="H10" s="118" t="s">
        <v>74</v>
      </c>
      <c r="I10" s="138" t="s">
        <v>75</v>
      </c>
      <c r="J10" s="139"/>
      <c r="K10" s="140">
        <v>1</v>
      </c>
      <c r="L10" s="140">
        <v>3</v>
      </c>
      <c r="M10" s="140">
        <v>1</v>
      </c>
      <c r="N10" s="141" t="s">
        <v>72</v>
      </c>
      <c r="O10" s="142"/>
      <c r="P10" s="146">
        <v>38</v>
      </c>
      <c r="Q10" s="125">
        <f>IF(P10&gt;0,(P10*K10),"")</f>
        <v>38</v>
      </c>
      <c r="R10" s="125">
        <f>IF(N10&lt;&gt;"",Q10*DATI!$E$13-S10,"0,00")</f>
        <v>0</v>
      </c>
      <c r="S10" s="143">
        <v>32.3</v>
      </c>
      <c r="T10" s="126">
        <f>IF(OR(R10&gt;0,S10&gt;0),(R10+S10*0.6),"")</f>
        <v>19.38</v>
      </c>
      <c r="U10" s="144" t="str">
        <f>IF($A$5&gt;0," ",IF(AND(N10="A",F10&gt;0),(9687.52)*F10,IF(AND($A$5=0,C10="S",N10="A",F10=1),9687.52," ")))</f>
        <v> </v>
      </c>
      <c r="V10" s="128">
        <f>IF(AND(N10="A",F10&gt;=0,C10="s",$A$5&gt;0),9687.52*F10+114.01*Q10," ")</f>
        <v>4332.38</v>
      </c>
      <c r="W10" s="145" t="str">
        <f>IF(AND(OR(N10="B",N10="C"),$A$5=0,$C$5="N"),116.25*Q10+'[1]DATI'!$E$4*Q10,IF(AND(OR(N10="B",N10="C"),$A$5=0,$C$5="S"),114.01*Q10+'[1]DATI'!$E$4*Q10," "))</f>
        <v> </v>
      </c>
      <c r="X10" s="128" t="str">
        <f>IF(AND(OR(N10="B",N10="C"),C10="s",$A$5&gt;0),114.01*1.3*Q10+1.3*'[1]DATI'!$E$4*Q10," ")</f>
        <v> </v>
      </c>
      <c r="Y10" s="128" t="str">
        <f>IF(N10="E",IF(M10=1,'[1]DATI'!$E$7*T10,IF(M10=2,'[1]DATI'!$E$8*T10,IF(M10=3,'[1]DATI'!$E$9*T10)))*B10," ")</f>
        <v> </v>
      </c>
      <c r="Z10" s="130"/>
      <c r="AA10" s="131">
        <f>IF(Z10="X",'[1]DATI'!$E$5*P10*L10,"")</f>
      </c>
      <c r="AB10" s="132">
        <f>IF(G10="X",-SUM(U10:Y10)*'[1]DATI'!$E$15,"")</f>
      </c>
      <c r="AC10" s="133">
        <f>SUM(U10:AB10)</f>
        <v>4332.38</v>
      </c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ht="18" customHeight="1">
      <c r="A11" s="113"/>
      <c r="B11" s="90">
        <v>1</v>
      </c>
      <c r="C11" s="91" t="s">
        <v>68</v>
      </c>
      <c r="D11" s="134"/>
      <c r="E11" s="135"/>
      <c r="F11" s="136"/>
      <c r="G11" s="137"/>
      <c r="H11" s="147"/>
      <c r="I11" s="119"/>
      <c r="J11" s="148"/>
      <c r="K11" s="140"/>
      <c r="L11" s="140"/>
      <c r="M11" s="140"/>
      <c r="N11" s="141"/>
      <c r="O11" s="142"/>
      <c r="P11" s="146"/>
      <c r="Q11" s="149"/>
      <c r="R11" s="149"/>
      <c r="S11" s="143"/>
      <c r="T11" s="150"/>
      <c r="U11" s="144" t="str">
        <f>IF($A$5&gt;0," ",IF(AND(N11="A",F11&gt;0),(9687.52)*F11,IF(AND($A$5=0,C11="S",N11="A",F11=1),9687.52," ")))</f>
        <v> </v>
      </c>
      <c r="V11" s="128" t="str">
        <f>IF(AND(N11="A",F11&gt;=0,C11="s",$A$5&gt;0),9687.52*F11+114.01*Q11," ")</f>
        <v> </v>
      </c>
      <c r="W11" s="145" t="str">
        <f>IF(AND(OR(N11="B",N11="C"),$A$5=0,$C$5="N"),116.25*Q11+'[1]DATI'!$E$4*Q11,IF(AND(OR(N11="B",N11="C"),$A$5=0,$C$5="S"),114.01*Q11+'[1]DATI'!$E$4*Q11," "))</f>
        <v> </v>
      </c>
      <c r="X11" s="128" t="str">
        <f>IF(AND(OR(N11="B",N11="C"),C11="s",$A$5&gt;0),114.01*1.3*Q11+1.3*'[1]DATI'!$E$4*Q11," ")</f>
        <v> </v>
      </c>
      <c r="Y11" s="128" t="str">
        <f>IF(N11="E",IF(M11=1,'[1]DATI'!$E$7*T11,IF(M11=2,'[1]DATI'!$E$8*T11,IF(M11=3,'[1]DATI'!$E$9*T11)))*B11," ")</f>
        <v> </v>
      </c>
      <c r="Z11" s="130"/>
      <c r="AA11" s="131">
        <f>IF(Z11="X",'[1]DATI'!$E$5*P11*L11,"")</f>
      </c>
      <c r="AB11" s="132">
        <f>IF(G11="X",-SUM(U11:Y11)*'[1]DATI'!$E$15,"")</f>
      </c>
      <c r="AC11" s="133">
        <f>SUM(U11:AB11)</f>
        <v>0</v>
      </c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ht="19.5" customHeight="1">
      <c r="A12" s="113"/>
      <c r="B12" s="90">
        <v>1</v>
      </c>
      <c r="C12" s="91" t="s">
        <v>68</v>
      </c>
      <c r="D12" s="134"/>
      <c r="E12" s="135"/>
      <c r="F12" s="136"/>
      <c r="G12" s="137"/>
      <c r="H12" s="118"/>
      <c r="I12" s="138"/>
      <c r="J12" s="148"/>
      <c r="K12" s="140"/>
      <c r="L12" s="140"/>
      <c r="M12" s="140"/>
      <c r="N12" s="141"/>
      <c r="O12" s="142"/>
      <c r="P12" s="143"/>
      <c r="Q12" s="149"/>
      <c r="R12" s="149"/>
      <c r="S12" s="143"/>
      <c r="T12" s="150"/>
      <c r="U12" s="144" t="str">
        <f>IF($A$5&gt;0," ",IF(AND(N12="A",F12&gt;0),(9687.52)*F12,IF(AND($A$5=0,C12="S",N12="A",F12=1),9687.52," ")))</f>
        <v> </v>
      </c>
      <c r="V12" s="128" t="str">
        <f>IF(AND(N12="A",F12&gt;=0,C12="s",$A$5&gt;0),9687.52*F12+114.01*Q12," ")</f>
        <v> </v>
      </c>
      <c r="W12" s="145" t="str">
        <f>IF(AND(OR(N12="B",N12="C"),$A$5=0,$C$5="N"),116.25*Q12+'[1]DATI'!$E$4*Q12,IF(AND(OR(N12="B",N12="C"),$A$5=0,$C$5="S"),114.01*Q12+'[1]DATI'!$E$4*Q12," "))</f>
        <v> </v>
      </c>
      <c r="X12" s="128" t="str">
        <f>IF(AND(OR(N12="B",N12="C"),C12="s",$A$5&gt;0),114.01*1.3*Q12+1.3*'[1]DATI'!$E$4*Q12," ")</f>
        <v> </v>
      </c>
      <c r="Y12" s="128" t="str">
        <f>IF(N12="E",IF(M12=1,'[1]DATI'!$E$7*T12,IF(M12=2,'[1]DATI'!$E$8*T12,IF(M12=3,'[1]DATI'!$E$9*T12)))*B12," ")</f>
        <v> </v>
      </c>
      <c r="Z12" s="130"/>
      <c r="AA12" s="131">
        <f>IF(Z12="X",'[1]DATI'!$E$5*P12*L12,"")</f>
      </c>
      <c r="AB12" s="132">
        <f>IF(G12="X",-SUM(U12:Y12)*'[1]DATI'!$E$15,"")</f>
      </c>
      <c r="AC12" s="133">
        <f>SUM(U12:AB12)</f>
        <v>0</v>
      </c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ht="19.5" customHeight="1">
      <c r="A13" s="113"/>
      <c r="B13" s="90">
        <v>1</v>
      </c>
      <c r="C13" s="91" t="s">
        <v>68</v>
      </c>
      <c r="D13" s="134"/>
      <c r="E13" s="135"/>
      <c r="F13" s="136"/>
      <c r="G13" s="137"/>
      <c r="H13" s="138"/>
      <c r="I13" s="138"/>
      <c r="J13" s="148"/>
      <c r="K13" s="140"/>
      <c r="L13" s="140"/>
      <c r="M13" s="140"/>
      <c r="N13" s="141"/>
      <c r="O13" s="142"/>
      <c r="P13" s="146"/>
      <c r="Q13" s="149"/>
      <c r="R13" s="149"/>
      <c r="S13" s="143"/>
      <c r="T13" s="150"/>
      <c r="U13" s="144" t="str">
        <f>IF($A$5&gt;0," ",IF(AND(N13="A",F13&gt;0),(9687.52)*F13,IF(AND($A$5=0,C13="S",N13="A",F13=1),9687.52," ")))</f>
        <v> </v>
      </c>
      <c r="V13" s="128" t="str">
        <f>IF(AND(N13="A",F13&gt;=0,C13="s",$A$5&gt;0),9687.52*F13+114.01*Q13," ")</f>
        <v> </v>
      </c>
      <c r="W13" s="145" t="str">
        <f>IF(AND(OR(N13="B",N13="C"),$A$5=0,$C$5="N"),116.25*Q13+'[1]DATI'!$E$4*Q13,IF(AND(OR(N13="B",N13="C"),$A$5=0,$C$5="S"),114.01*Q13+'[1]DATI'!$E$4*Q13," "))</f>
        <v> </v>
      </c>
      <c r="X13" s="128" t="str">
        <f>IF(AND(OR(N13="B",N13="C"),C13="s",$A$5&gt;0),114.01*1.3*Q13+1.3*'[1]DATI'!$E$4*Q13," ")</f>
        <v> </v>
      </c>
      <c r="Y13" s="128" t="str">
        <f>IF(N13="E",IF(M13=1,'[1]DATI'!$E$7*T13,IF(M13=2,'[1]DATI'!$E$8*T13,IF(M13=3,'[1]DATI'!$E$9*T13)))*B13," ")</f>
        <v> </v>
      </c>
      <c r="Z13" s="130"/>
      <c r="AA13" s="131">
        <f>IF(Z13="X",'[1]DATI'!$E$5*P13*L13,"")</f>
      </c>
      <c r="AB13" s="132">
        <f>IF(G13="X",-SUM(U13:Y13)*'[1]DATI'!$E$15,"")</f>
      </c>
      <c r="AC13" s="133">
        <f>SUM(U13:AB13)</f>
        <v>0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ht="12.75">
      <c r="A14" s="113"/>
      <c r="B14" s="90">
        <v>1</v>
      </c>
      <c r="C14" s="91" t="s">
        <v>68</v>
      </c>
      <c r="D14" s="134"/>
      <c r="E14" s="135"/>
      <c r="F14" s="136"/>
      <c r="G14" s="137"/>
      <c r="H14" s="147"/>
      <c r="I14" s="119"/>
      <c r="J14" s="148"/>
      <c r="K14" s="140"/>
      <c r="L14" s="140"/>
      <c r="M14" s="140"/>
      <c r="N14" s="141"/>
      <c r="O14" s="142"/>
      <c r="P14" s="146"/>
      <c r="Q14" s="149"/>
      <c r="R14" s="149"/>
      <c r="S14" s="143"/>
      <c r="T14" s="150"/>
      <c r="U14" s="144" t="str">
        <f>IF($A$5&gt;0," ",IF(AND(N14="A",F14&gt;0),(9687.52)*F14,IF(AND($A$5=0,C14="S",N14="A",F14=1),9687.52," ")))</f>
        <v> </v>
      </c>
      <c r="V14" s="128" t="str">
        <f>IF(AND(N14="A",F14&gt;=0,C14="s",$A$5&gt;0),9687.52*F14+114.01*Q14," ")</f>
        <v> </v>
      </c>
      <c r="W14" s="145" t="str">
        <f>IF(AND(OR(N14="B",N14="C"),$A$5=0,$C$5="N"),116.25*Q14+'[1]DATI'!$E$4*Q14,IF(AND(OR(N14="B",N14="C"),$A$5=0,$C$5="S"),114.01*Q14+'[1]DATI'!$E$4*Q14," "))</f>
        <v> </v>
      </c>
      <c r="X14" s="128" t="str">
        <f>IF(AND(OR(N14="B",N14="C"),C14="s",$A$5&gt;0),114.01*1.3*Q14+1.3*'[1]DATI'!$E$4*Q14," ")</f>
        <v> </v>
      </c>
      <c r="Y14" s="128" t="str">
        <f>IF(N14="E",IF(M14=1,'[1]DATI'!$E$7*T14,IF(M14=2,'[1]DATI'!$E$8*T14,IF(M14=3,'[1]DATI'!$E$9*T14)))*B14," ")</f>
        <v> </v>
      </c>
      <c r="Z14" s="130"/>
      <c r="AA14" s="131">
        <f>IF(Z14="X",'[1]DATI'!$E$5*P14*L14,"")</f>
      </c>
      <c r="AB14" s="132">
        <f>IF(G14="X",-SUM(U14:Y14)*'[1]DATI'!$E$15,"")</f>
      </c>
      <c r="AC14" s="133">
        <f>SUM(U14:AB14)</f>
        <v>0</v>
      </c>
      <c r="AD14" s="71"/>
      <c r="AE14" s="71"/>
      <c r="AF14" s="151"/>
      <c r="AG14" s="151"/>
      <c r="AH14" s="151"/>
      <c r="AI14" s="151"/>
      <c r="AJ14" s="151"/>
      <c r="AK14" s="151"/>
      <c r="AL14" s="151"/>
      <c r="AM14" s="71"/>
      <c r="AN14" s="71"/>
      <c r="AO14" s="71"/>
      <c r="AP14" s="71"/>
    </row>
    <row r="15" spans="1:42" ht="21.75" customHeight="1">
      <c r="A15" s="113"/>
      <c r="B15" s="90">
        <v>1</v>
      </c>
      <c r="C15" s="91" t="s">
        <v>68</v>
      </c>
      <c r="D15" s="134"/>
      <c r="E15" s="135"/>
      <c r="F15" s="136"/>
      <c r="G15" s="137"/>
      <c r="H15" s="138"/>
      <c r="I15" s="138"/>
      <c r="J15" s="139"/>
      <c r="K15" s="140"/>
      <c r="L15" s="140"/>
      <c r="M15" s="140"/>
      <c r="N15" s="141"/>
      <c r="O15" s="142"/>
      <c r="P15" s="146"/>
      <c r="Q15" s="149"/>
      <c r="R15" s="149"/>
      <c r="S15" s="143"/>
      <c r="T15" s="150"/>
      <c r="U15" s="144" t="str">
        <f>IF($A$5&gt;0," ",IF(AND(N15="A",F15&gt;0),(9687.52)*F15,IF(AND($A$5=0,C15="S",N15="A",F15=1),9687.52," ")))</f>
        <v> </v>
      </c>
      <c r="V15" s="128" t="str">
        <f>IF(AND(N15="A",F15&gt;=0,C15="s",$A$5&gt;0),9687.52*F15+114.01*Q15," ")</f>
        <v> </v>
      </c>
      <c r="W15" s="145" t="str">
        <f>IF(AND(OR(N15="B",N15="C"),$A$5=0,$C$5="N"),116.25*Q15+'[1]DATI'!$E$4*Q15,IF(AND(OR(N15="B",N15="C"),$A$5=0,$C$5="S"),114.01*Q15+'[1]DATI'!$E$4*Q15," "))</f>
        <v> </v>
      </c>
      <c r="X15" s="128" t="str">
        <f>IF(AND(OR(N15="B",N15="C"),C15="s",$A$5&gt;0),114.01*1.3*Q15+1.3*'[1]DATI'!$E$4*Q15," ")</f>
        <v> </v>
      </c>
      <c r="Y15" s="128" t="str">
        <f>IF(N15="E",IF(M15=1,'[1]DATI'!$E$7*T15,IF(M15=2,'[1]DATI'!$E$8*T15,IF(M15=3,'[1]DATI'!$E$9*T15)))*B15," ")</f>
        <v> </v>
      </c>
      <c r="Z15" s="130"/>
      <c r="AA15" s="131">
        <f>IF(Z15="X",'[1]DATI'!$E$5*P15*L15,"")</f>
      </c>
      <c r="AB15" s="132">
        <f>IF(G15="X",-SUM(U15:Y15)*'[1]DATI'!$E$15,"")</f>
      </c>
      <c r="AC15" s="133">
        <f>SUM(U15:AB15)</f>
        <v>0</v>
      </c>
      <c r="AD15" s="71"/>
      <c r="AE15" s="71"/>
      <c r="AF15" s="151"/>
      <c r="AG15" s="151"/>
      <c r="AH15" s="151"/>
      <c r="AI15" s="151"/>
      <c r="AJ15" s="151"/>
      <c r="AK15" s="151"/>
      <c r="AL15" s="151"/>
      <c r="AM15" s="71"/>
      <c r="AN15" s="71"/>
      <c r="AO15" s="71"/>
      <c r="AP15" s="71"/>
    </row>
    <row r="16" spans="1:42" ht="19.5" customHeight="1">
      <c r="A16" s="113"/>
      <c r="B16" s="90">
        <v>1</v>
      </c>
      <c r="C16" s="91" t="s">
        <v>68</v>
      </c>
      <c r="D16" s="134"/>
      <c r="E16" s="135"/>
      <c r="F16" s="136"/>
      <c r="G16" s="137"/>
      <c r="H16" s="118"/>
      <c r="I16" s="119"/>
      <c r="J16" s="139"/>
      <c r="K16" s="140"/>
      <c r="L16" s="140"/>
      <c r="M16" s="140"/>
      <c r="N16" s="141"/>
      <c r="O16" s="142"/>
      <c r="P16" s="146"/>
      <c r="Q16" s="149"/>
      <c r="R16" s="149"/>
      <c r="S16" s="124"/>
      <c r="T16" s="150"/>
      <c r="U16" s="144" t="str">
        <f>IF($A$5&gt;0," ",IF(AND(N16="A",F16&gt;0),(9687.52)*F16,IF(AND($A$5=0,C16="S",N16="A",F16=1),9687.52," ")))</f>
        <v> </v>
      </c>
      <c r="V16" s="128" t="str">
        <f>IF(AND(N16="A",F16&gt;=0,C16="s",$A$5&gt;0),9687.52*F16+114.01*Q16," ")</f>
        <v> </v>
      </c>
      <c r="W16" s="145" t="str">
        <f>IF(AND(OR(N16="B",N16="C"),$A$5=0,$C$5="N"),116.25*Q16+'[1]DATI'!$E$4*Q16,IF(AND(OR(N16="B",N16="C"),$A$5=0,$C$5="S"),114.01*Q16+'[1]DATI'!$E$4*Q16," "))</f>
        <v> </v>
      </c>
      <c r="X16" s="128" t="str">
        <f>IF(AND(OR(N16="B",N16="C"),C16="s",$A$5&gt;0),114.01*1.3*Q16+1.3*'[1]DATI'!$E$4*Q16," ")</f>
        <v> </v>
      </c>
      <c r="Y16" s="128" t="str">
        <f>IF(N16="E",IF(M16=1,'[1]DATI'!$E$7*T16,IF(M16=2,'[1]DATI'!$E$8*T16,IF(M16=3,'[1]DATI'!$E$9*T16)))*B16," ")</f>
        <v> </v>
      </c>
      <c r="Z16" s="130"/>
      <c r="AA16" s="131">
        <f>IF(Z16="X",'[1]DATI'!$E$5*P16*L16,"")</f>
      </c>
      <c r="AB16" s="132">
        <f>IF(G16="X",-SUM(U16:Y16)*'[1]DATI'!$E$15,"")</f>
      </c>
      <c r="AC16" s="133">
        <f>SUM(U16:AB16)</f>
        <v>0</v>
      </c>
      <c r="AD16" s="71"/>
      <c r="AE16" s="71"/>
      <c r="AF16" s="151"/>
      <c r="AG16" s="151"/>
      <c r="AH16" s="151"/>
      <c r="AI16" s="151"/>
      <c r="AJ16" s="151"/>
      <c r="AK16" s="151"/>
      <c r="AL16" s="151"/>
      <c r="AM16" s="71"/>
      <c r="AN16" s="71"/>
      <c r="AO16" s="71"/>
      <c r="AP16" s="71"/>
    </row>
    <row r="17" spans="1:42" ht="19.5" customHeight="1">
      <c r="A17" s="113"/>
      <c r="B17" s="113"/>
      <c r="C17" s="91"/>
      <c r="D17" s="152"/>
      <c r="E17" s="153"/>
      <c r="F17" s="136"/>
      <c r="G17" s="154"/>
      <c r="H17" s="155"/>
      <c r="I17" s="156"/>
      <c r="J17" s="140"/>
      <c r="K17" s="140"/>
      <c r="L17" s="140"/>
      <c r="M17" s="140"/>
      <c r="N17" s="141"/>
      <c r="O17" s="157"/>
      <c r="P17" s="146"/>
      <c r="Q17" s="149"/>
      <c r="R17" s="149"/>
      <c r="S17" s="143"/>
      <c r="T17" s="150"/>
      <c r="U17" s="144" t="str">
        <f>IF($A$5&gt;0," ",IF(AND(N17="A",F17&gt;0),(9687.52)*F17,IF(AND($A$5=0,C17="S",N17="A",F17=1),9687.52," ")))</f>
        <v> </v>
      </c>
      <c r="V17" s="128" t="str">
        <f>IF(AND(N17="A",F17&gt;=0,C17="s",$A$5&gt;0),9687.52*F17+114.01*Q17," ")</f>
        <v> </v>
      </c>
      <c r="W17" s="145" t="str">
        <f>IF(AND(OR(N17="B",N17="C"),$A$5=0,$C$5="N"),116.25*Q17+'[1]DATI'!$E$4*Q17,IF(AND(OR(N17="B",N17="C"),$A$5=0,$C$5="S"),114.01*Q17+'[1]DATI'!$E$4*Q17," "))</f>
        <v> </v>
      </c>
      <c r="X17" s="128" t="str">
        <f>IF(AND(OR(N17="B",N17="C"),C17="s",$A$5&gt;0),114.01*1.3*Q17+1.3*'[1]DATI'!$E$4*Q17," ")</f>
        <v> </v>
      </c>
      <c r="Y17" s="128" t="str">
        <f>IF(N17="E",IF(M17=1,'[1]DATI'!$E$7*T17,IF(M17=2,'[1]DATI'!$E$8*T17,IF(M17=3,'[1]DATI'!$E$9*T17)))*B17," ")</f>
        <v> </v>
      </c>
      <c r="Z17" s="130"/>
      <c r="AA17" s="131">
        <f>IF(Z17="X",'[1]DATI'!$E$5*P17*L17,"")</f>
      </c>
      <c r="AB17" s="132">
        <f>IF(G17="X",-SUM(U17:Y17)*'[1]DATI'!$E$15,"")</f>
      </c>
      <c r="AC17" s="133">
        <f>SUM(U17:AB17)</f>
        <v>0</v>
      </c>
      <c r="AD17" s="71"/>
      <c r="AE17" s="71"/>
      <c r="AF17" s="151"/>
      <c r="AG17" s="151"/>
      <c r="AH17" s="151"/>
      <c r="AI17" s="151"/>
      <c r="AJ17" s="151"/>
      <c r="AK17" s="151"/>
      <c r="AL17" s="151"/>
      <c r="AM17" s="71"/>
      <c r="AN17" s="71"/>
      <c r="AO17" s="71"/>
      <c r="AP17" s="71"/>
    </row>
    <row r="18" spans="1:42" ht="19.5" customHeight="1">
      <c r="A18" s="113"/>
      <c r="B18" s="113"/>
      <c r="C18" s="91"/>
      <c r="D18" s="152"/>
      <c r="E18" s="156"/>
      <c r="F18" s="136"/>
      <c r="G18" s="154"/>
      <c r="H18" s="155"/>
      <c r="I18" s="156"/>
      <c r="J18" s="140"/>
      <c r="K18" s="140"/>
      <c r="L18" s="140"/>
      <c r="M18" s="140"/>
      <c r="N18" s="141"/>
      <c r="O18" s="158"/>
      <c r="P18" s="146"/>
      <c r="Q18" s="149"/>
      <c r="R18" s="149"/>
      <c r="S18" s="143"/>
      <c r="T18" s="150"/>
      <c r="U18" s="144" t="str">
        <f>IF($A$5&gt;0," ",IF(AND(N18="A",F18&gt;0),(9687.52)*F18,IF(AND($A$5=0,C18="S",N18="A",F18=1),9687.52," ")))</f>
        <v> </v>
      </c>
      <c r="V18" s="128" t="str">
        <f>IF(AND(N18="A",F18&gt;=0,C18="s",$A$5&gt;0),9687.52*F18+114.01*Q18," ")</f>
        <v> </v>
      </c>
      <c r="W18" s="145" t="str">
        <f>IF(AND(OR(N18="B",N18="C"),$A$5=0,$C$5="N"),116.25*Q18+'[1]DATI'!$E$4*Q18,IF(AND(OR(N18="B",N18="C"),$A$5=0,$C$5="S"),114.01*Q18+'[1]DATI'!$E$4*Q18," "))</f>
        <v> </v>
      </c>
      <c r="X18" s="128" t="str">
        <f>IF(AND(OR(N18="B",N18="C"),C18="s",$A$5&gt;0),114.01*1.3*Q18+1.3*'[1]DATI'!$E$4*Q18," ")</f>
        <v> </v>
      </c>
      <c r="Y18" s="128" t="str">
        <f>IF(N18="E",IF(M18=1,'[1]DATI'!$E$7*T18,IF(M18=2,'[1]DATI'!$E$8*T18,IF(M18=3,'[1]DATI'!$E$9*T18)))*B18," ")</f>
        <v> </v>
      </c>
      <c r="Z18" s="130"/>
      <c r="AA18" s="131">
        <f>IF(Z18="X",'[1]DATI'!$E$5*P18*L18,"")</f>
      </c>
      <c r="AB18" s="132">
        <f>IF(G18="X",-SUM(U18:Y18)*'[1]DATI'!$E$15,"")</f>
      </c>
      <c r="AC18" s="133">
        <f>SUM(U18:AB18)</f>
        <v>0</v>
      </c>
      <c r="AD18" s="71"/>
      <c r="AE18" s="71"/>
      <c r="AF18" s="151"/>
      <c r="AG18" s="151"/>
      <c r="AH18" s="159"/>
      <c r="AI18" s="151"/>
      <c r="AJ18" s="151"/>
      <c r="AK18" s="151"/>
      <c r="AL18" s="151"/>
      <c r="AM18" s="71"/>
      <c r="AN18" s="71"/>
      <c r="AO18" s="71"/>
      <c r="AP18" s="71"/>
    </row>
    <row r="19" spans="1:43" ht="19.5" customHeight="1">
      <c r="A19" s="113"/>
      <c r="B19" s="113"/>
      <c r="C19" s="91"/>
      <c r="D19" s="160"/>
      <c r="E19" s="161"/>
      <c r="F19" s="162"/>
      <c r="G19" s="163"/>
      <c r="H19" s="163"/>
      <c r="I19" s="161"/>
      <c r="J19" s="164"/>
      <c r="K19" s="164"/>
      <c r="L19" s="164"/>
      <c r="M19" s="164"/>
      <c r="N19" s="165"/>
      <c r="O19" s="166"/>
      <c r="P19" s="167"/>
      <c r="Q19" s="168">
        <f>IF(P19&gt;0,(P19*K19),"")</f>
      </c>
      <c r="R19" s="168"/>
      <c r="S19" s="167"/>
      <c r="T19" s="169">
        <f>IF(OR(R19&gt;0,S19&gt;0),(R19+S19*0.6)*DATI!$E$14,"")</f>
      </c>
      <c r="U19" s="170" t="str">
        <f>IF($A$5&gt;0," ",IF(AND(N19="A",F19&gt;0),(9687.52)*F19,IF(AND($A$5=0,C19="S",N19="A",F19=1),9687.52," ")))</f>
        <v> </v>
      </c>
      <c r="V19" s="171" t="str">
        <f>IF(AND(N19="A",F19&gt;=0,C19="s",$A$5&gt;0),9687.52*F19+114.01*Q19," ")</f>
        <v> </v>
      </c>
      <c r="W19" s="172" t="str">
        <f>IF(AND(OR(N19="B",N19="C"),$A$5=0,$C$5="N"),116.25*Q19+'[1]DATI'!$E$4*Q19,IF(AND(OR(N19="B",N19="C"),$A$5=0,$C$5="S"),114.01*Q19+'[1]DATI'!$E$4*Q19," "))</f>
        <v> </v>
      </c>
      <c r="X19" s="171" t="str">
        <f>IF(AND(OR(N19="B",N19="C"),C19="s",$A$5&gt;0),114.01*1.3*Q19+1.3*'[1]DATI'!$E$4*Q19," ")</f>
        <v> </v>
      </c>
      <c r="Y19" s="171" t="str">
        <f>IF(N19="E",IF(M19=1,'[1]DATI'!$E$7*T19,IF(M19=2,'[1]DATI'!$E$8*T19,IF(M19=3,'[1]DATI'!$E$9*T19)))*B19," ")</f>
        <v> </v>
      </c>
      <c r="Z19" s="173"/>
      <c r="AA19" s="174">
        <f>IF(Z19="X",'[1]DATI'!$E$5*P19*L19,"")</f>
      </c>
      <c r="AB19" s="175">
        <f>IF(G19="X",-SUM(U19:Y19)*'[1]DATI'!$E$15,"")</f>
      </c>
      <c r="AC19" s="176">
        <f>SUM(U19:AB19)</f>
        <v>0</v>
      </c>
      <c r="AD19" s="71"/>
      <c r="AE19" s="71"/>
      <c r="AF19" s="151"/>
      <c r="AG19" s="151"/>
      <c r="AH19" s="151"/>
      <c r="AI19" s="151"/>
      <c r="AJ19" s="151"/>
      <c r="AN19" s="69"/>
      <c r="AO19" s="177"/>
      <c r="AP19" s="69"/>
      <c r="AQ19" s="69"/>
    </row>
    <row r="20" spans="1:43" ht="26.25" customHeight="1">
      <c r="A20" s="113"/>
      <c r="B20" s="113"/>
      <c r="C20" s="91"/>
      <c r="D20" s="178"/>
      <c r="E20" s="179"/>
      <c r="F20" s="179"/>
      <c r="G20" s="179"/>
      <c r="H20" s="179"/>
      <c r="I20" s="179"/>
      <c r="J20" s="179" t="s">
        <v>78</v>
      </c>
      <c r="K20" s="179"/>
      <c r="L20" s="179"/>
      <c r="M20" s="179"/>
      <c r="N20" s="179"/>
      <c r="O20" s="179"/>
      <c r="P20" s="180">
        <f>SUM(P5:P19)</f>
        <v>340</v>
      </c>
      <c r="Q20" s="180">
        <f>SUM(Q5:Q19)</f>
        <v>482</v>
      </c>
      <c r="R20" s="179" t="s">
        <v>79</v>
      </c>
      <c r="S20" s="179"/>
      <c r="T20" s="180">
        <f>SUM(T5:T19)</f>
        <v>352.3</v>
      </c>
      <c r="U20" s="181">
        <f>SUM(U5:U19)</f>
        <v>0</v>
      </c>
      <c r="V20" s="181">
        <f>SUM(V5:V19)</f>
        <v>43434.479999999996</v>
      </c>
      <c r="W20" s="181">
        <f>SUM(W5:W19)</f>
        <v>0</v>
      </c>
      <c r="X20" s="181">
        <f>SUM(X5:X19)</f>
        <v>0</v>
      </c>
      <c r="Y20" s="181">
        <f>SUM(Y5:Y19)</f>
        <v>175435.8688</v>
      </c>
      <c r="Z20" s="181"/>
      <c r="AA20" s="181">
        <f>SUM(AA5:AA19)</f>
        <v>0</v>
      </c>
      <c r="AB20" s="182">
        <f>SUM(AB5:AB19)</f>
        <v>0</v>
      </c>
      <c r="AC20" s="183">
        <f>SUM(AC5:AC19)</f>
        <v>218870.34880000004</v>
      </c>
      <c r="AD20" s="71"/>
      <c r="AE20" s="71"/>
      <c r="AF20" s="151"/>
      <c r="AG20" s="151"/>
      <c r="AH20" s="151"/>
      <c r="AI20" s="151"/>
      <c r="AJ20" s="151"/>
      <c r="AN20" s="69"/>
      <c r="AO20" s="177"/>
      <c r="AP20" s="69"/>
      <c r="AQ20" s="69"/>
    </row>
    <row r="21" spans="4:43" ht="29.25" customHeight="1">
      <c r="D21" s="184"/>
      <c r="E21" s="185"/>
      <c r="F21" s="185"/>
      <c r="G21" s="186"/>
      <c r="H21" s="187" t="s">
        <v>80</v>
      </c>
      <c r="I21" s="188"/>
      <c r="J21" s="189"/>
      <c r="K21" s="189"/>
      <c r="L21" s="188"/>
      <c r="M21" s="188"/>
      <c r="N21" s="190">
        <f>AN42/Q20</f>
        <v>0.23236514522821577</v>
      </c>
      <c r="O21" s="185"/>
      <c r="P21" s="187" t="s">
        <v>81</v>
      </c>
      <c r="Q21" s="191"/>
      <c r="R21" s="192"/>
      <c r="S21" s="192"/>
      <c r="T21" s="190">
        <f>(Q20-AN41-AK45)/Q20</f>
        <v>0.4173785696851354</v>
      </c>
      <c r="U21" s="193"/>
      <c r="V21" s="187" t="s">
        <v>82</v>
      </c>
      <c r="W21" s="189"/>
      <c r="X21" s="194"/>
      <c r="Y21" s="190">
        <f>SUM(S5:S19)/DATI!$E$14/Q20</f>
        <v>0.3502562850866488</v>
      </c>
      <c r="Z21" s="193"/>
      <c r="AA21" s="193"/>
      <c r="AB21" s="193"/>
      <c r="AC21" s="195"/>
      <c r="AD21" s="196"/>
      <c r="AE21" s="196"/>
      <c r="AF21" s="197"/>
      <c r="AG21" s="197"/>
      <c r="AH21" s="197"/>
      <c r="AI21" s="197"/>
      <c r="AJ21" s="197"/>
      <c r="AN21" s="69"/>
      <c r="AO21" s="177"/>
      <c r="AP21" s="198"/>
      <c r="AQ21" s="69"/>
    </row>
    <row r="22" spans="1:42" ht="19.5" customHeight="1">
      <c r="A22" s="113"/>
      <c r="B22" s="113"/>
      <c r="P22" s="68"/>
      <c r="Q22" s="68"/>
      <c r="R22" s="68"/>
      <c r="S22" s="68"/>
      <c r="AF22" s="151"/>
      <c r="AG22" s="151"/>
      <c r="AH22" s="151"/>
      <c r="AI22" s="151"/>
      <c r="AJ22" s="151"/>
      <c r="AK22" s="151"/>
      <c r="AL22" s="151"/>
      <c r="AM22" s="71"/>
      <c r="AN22" s="71"/>
      <c r="AO22" s="71"/>
      <c r="AP22" s="71"/>
    </row>
    <row r="23" spans="1:42" ht="19.5" customHeight="1">
      <c r="A23" s="113"/>
      <c r="B23" s="113"/>
      <c r="AF23" s="151"/>
      <c r="AG23" s="151"/>
      <c r="AH23" s="151"/>
      <c r="AI23" s="151"/>
      <c r="AJ23" s="151"/>
      <c r="AK23" s="151"/>
      <c r="AL23" s="151"/>
      <c r="AM23" s="71"/>
      <c r="AN23" s="71"/>
      <c r="AO23" s="71"/>
      <c r="AP23" s="71"/>
    </row>
    <row r="24" spans="1:67" ht="28.5" customHeight="1">
      <c r="A24" s="113"/>
      <c r="B24" s="113"/>
      <c r="D24" s="199" t="s">
        <v>83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 t="s">
        <v>84</v>
      </c>
      <c r="Z24" s="199"/>
      <c r="AA24" s="199"/>
      <c r="AB24" s="199"/>
      <c r="AC24" s="199"/>
      <c r="AF24" s="151"/>
      <c r="AG24" s="151"/>
      <c r="AH24" s="200" t="s">
        <v>85</v>
      </c>
      <c r="AI24" s="201" t="s">
        <v>86</v>
      </c>
      <c r="AJ24" s="201"/>
      <c r="AK24" s="201"/>
      <c r="AL24" s="202" t="s">
        <v>87</v>
      </c>
      <c r="AM24" s="202"/>
      <c r="AQ24" s="203" t="s">
        <v>85</v>
      </c>
      <c r="AR24" s="203"/>
      <c r="AS24" s="203" t="s">
        <v>88</v>
      </c>
      <c r="AT24" s="203"/>
      <c r="AV24" s="204" t="s">
        <v>89</v>
      </c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</row>
    <row r="25" spans="4:75" ht="75" customHeight="1">
      <c r="D25" s="205" t="s">
        <v>43</v>
      </c>
      <c r="E25" s="206" t="s">
        <v>45</v>
      </c>
      <c r="F25" s="207" t="s">
        <v>90</v>
      </c>
      <c r="G25" s="208" t="s">
        <v>91</v>
      </c>
      <c r="H25" s="209" t="s">
        <v>67</v>
      </c>
      <c r="I25" s="209"/>
      <c r="J25" s="209"/>
      <c r="K25" s="210" t="s">
        <v>92</v>
      </c>
      <c r="L25" s="210"/>
      <c r="M25" s="211" t="s">
        <v>93</v>
      </c>
      <c r="N25" s="211"/>
      <c r="O25" s="212" t="s">
        <v>94</v>
      </c>
      <c r="P25" s="210" t="s">
        <v>95</v>
      </c>
      <c r="Q25" s="213" t="s">
        <v>96</v>
      </c>
      <c r="R25" s="214" t="s">
        <v>97</v>
      </c>
      <c r="S25" s="215" t="s">
        <v>98</v>
      </c>
      <c r="T25" s="212" t="s">
        <v>99</v>
      </c>
      <c r="U25" s="216" t="s">
        <v>100</v>
      </c>
      <c r="V25" s="215" t="s">
        <v>101</v>
      </c>
      <c r="W25" s="212" t="s">
        <v>102</v>
      </c>
      <c r="X25" s="216" t="s">
        <v>103</v>
      </c>
      <c r="Y25" s="211" t="s">
        <v>104</v>
      </c>
      <c r="Z25" s="217" t="s">
        <v>105</v>
      </c>
      <c r="AA25" s="217"/>
      <c r="AB25" s="218" t="s">
        <v>106</v>
      </c>
      <c r="AC25" s="218"/>
      <c r="AF25" s="151"/>
      <c r="AG25" s="151"/>
      <c r="AH25" s="219" t="s">
        <v>77</v>
      </c>
      <c r="AI25" s="219" t="s">
        <v>77</v>
      </c>
      <c r="AJ25" s="219" t="s">
        <v>107</v>
      </c>
      <c r="AK25" s="219" t="s">
        <v>72</v>
      </c>
      <c r="AL25" s="219" t="s">
        <v>72</v>
      </c>
      <c r="AM25" s="219" t="s">
        <v>72</v>
      </c>
      <c r="AN25" s="219" t="s">
        <v>108</v>
      </c>
      <c r="AQ25" s="220" t="s">
        <v>109</v>
      </c>
      <c r="AR25" s="220" t="s">
        <v>110</v>
      </c>
      <c r="AS25" s="221" t="s">
        <v>71</v>
      </c>
      <c r="AT25" s="221" t="s">
        <v>75</v>
      </c>
      <c r="AV25" s="220" t="s">
        <v>111</v>
      </c>
      <c r="AW25" s="220"/>
      <c r="AX25" s="220" t="s">
        <v>112</v>
      </c>
      <c r="AY25" s="220"/>
      <c r="AZ25" s="220" t="s">
        <v>110</v>
      </c>
      <c r="BA25" s="220"/>
      <c r="BC25" s="220" t="s">
        <v>113</v>
      </c>
      <c r="BD25" s="220"/>
      <c r="BE25" s="220" t="s">
        <v>114</v>
      </c>
      <c r="BF25" s="220"/>
      <c r="BG25" s="220" t="s">
        <v>115</v>
      </c>
      <c r="BH25" s="220"/>
      <c r="BJ25" s="220" t="s">
        <v>116</v>
      </c>
      <c r="BK25" s="220"/>
      <c r="BL25" s="220" t="s">
        <v>117</v>
      </c>
      <c r="BM25" s="220"/>
      <c r="BN25" s="220" t="s">
        <v>118</v>
      </c>
      <c r="BQ25" s="68" t="s">
        <v>119</v>
      </c>
      <c r="BR25" s="68" t="s">
        <v>120</v>
      </c>
      <c r="BS25" s="68" t="s">
        <v>121</v>
      </c>
      <c r="BT25" s="68" t="s">
        <v>122</v>
      </c>
      <c r="BU25" s="68" t="s">
        <v>123</v>
      </c>
      <c r="BW25" s="222" t="s">
        <v>124</v>
      </c>
    </row>
    <row r="26" spans="4:75" ht="19.5" customHeight="1">
      <c r="D26" s="223">
        <f>D5</f>
        <v>26</v>
      </c>
      <c r="E26" s="224">
        <f>F5</f>
        <v>1</v>
      </c>
      <c r="F26" s="225" t="str">
        <f>N5</f>
        <v>A</v>
      </c>
      <c r="G26" s="226">
        <f>Q5</f>
        <v>112</v>
      </c>
      <c r="H26" s="227">
        <f>AC5</f>
        <v>22456.64</v>
      </c>
      <c r="I26" s="227"/>
      <c r="J26" s="227"/>
      <c r="K26" s="228">
        <f>(H26)*0.1</f>
        <v>2245.664</v>
      </c>
      <c r="L26" s="228"/>
      <c r="M26" s="229">
        <f>IF($C$5="s",IF(SUM($H$41)&lt;=1000000,SUM(H26)*0.02,SUM(H26)*0.01),0)</f>
        <v>449.1328</v>
      </c>
      <c r="N26" s="229"/>
      <c r="O26" s="230">
        <f>(M26*(0.04))</f>
        <v>17.965312</v>
      </c>
      <c r="P26" s="231">
        <f>(M26+O26)*0.22</f>
        <v>102.76158464</v>
      </c>
      <c r="Q26" s="232">
        <f>IF(F26="E",G26*12,0)</f>
        <v>0</v>
      </c>
      <c r="R26" s="233">
        <f>BW26*0.22</f>
        <v>0</v>
      </c>
      <c r="S26" s="234">
        <f>IF(F26="E",H26*1.5%,0)</f>
        <v>0</v>
      </c>
      <c r="T26" s="235">
        <f>S26*0.02</f>
        <v>0</v>
      </c>
      <c r="U26" s="236">
        <f>(S26+T26)*0.22</f>
        <v>0</v>
      </c>
      <c r="V26" s="232">
        <f>H26*0.15</f>
        <v>3368.4959999999996</v>
      </c>
      <c r="W26" s="230">
        <f>V26*0.04</f>
        <v>134.73984</v>
      </c>
      <c r="X26" s="237">
        <f>0.22*(W26+V26)</f>
        <v>770.7118848</v>
      </c>
      <c r="Y26" s="238">
        <f>SUM(K26:X26)-Q26+BW26</f>
        <v>7089.471421440001</v>
      </c>
      <c r="Z26" s="239">
        <f>Y26+H26</f>
        <v>29546.11142144</v>
      </c>
      <c r="AA26" s="239"/>
      <c r="AB26" s="240">
        <f>SUM(Z26:AA40)</f>
        <v>297341.5283617856</v>
      </c>
      <c r="AC26" s="240"/>
      <c r="AF26" s="151"/>
      <c r="AG26" s="151"/>
      <c r="AH26" s="241">
        <f>IF($N5="E",$T5,0)</f>
        <v>0</v>
      </c>
      <c r="AI26" s="241">
        <f>IF(OR($F26="E",$F26="E"),$G26,0)</f>
        <v>0</v>
      </c>
      <c r="AJ26" s="241">
        <f>IF(OR($F26="B",$F26="C"),$G26,0)</f>
        <v>0</v>
      </c>
      <c r="AK26" s="241">
        <f>IF($F26="A",$G26,0)</f>
        <v>112</v>
      </c>
      <c r="AL26" s="241">
        <f>IF($N5="A",$F5,0)</f>
        <v>1</v>
      </c>
      <c r="AM26" s="241">
        <f>IF(AND($F26="A",$F5&gt;0),$G26,0)</f>
        <v>112</v>
      </c>
      <c r="AN26" s="241">
        <f>IF($F5&gt;0,$G26,0)</f>
        <v>112</v>
      </c>
      <c r="AQ26" s="242">
        <f>IF($N5="E",$R5/'DATI (2)'!$E$13,0)</f>
        <v>0</v>
      </c>
      <c r="AR26" s="242">
        <f>IF($N5="E",$S5/'DATI (2)'!$E$14,0)</f>
        <v>0</v>
      </c>
      <c r="AS26" s="243">
        <f>($R5)/'DATI (2)'!$E$13</f>
        <v>112</v>
      </c>
      <c r="AT26" s="243">
        <f>$S5/'DATI (2)'!$E$14</f>
        <v>0</v>
      </c>
      <c r="AV26" s="242">
        <f>IF(AND($F26="E",$F5&gt;0),$R5/'DATI (2)'!$E$13,0)</f>
        <v>0</v>
      </c>
      <c r="AW26" s="244">
        <f>IF(AND($F26="E",$F5&gt;0),$Z26,0)</f>
        <v>0</v>
      </c>
      <c r="AX26" s="242">
        <f>IF(AND($F26="E",$F5=0),$R5/'DATI (2)'!$E$13,0)</f>
        <v>0</v>
      </c>
      <c r="AY26" s="244">
        <f>IF(AND($F26="E",$F5=0,R5&gt;0),$Z26*$BT26,0)</f>
        <v>0</v>
      </c>
      <c r="AZ26" s="242">
        <f>IF(AND($F26="E"),$S5/'DATI (2)'!$E$13,0)</f>
        <v>0</v>
      </c>
      <c r="BA26" s="244">
        <f>IF(AND($F26="E",$S5&gt;0),$Z26*$BU26,0)</f>
        <v>0</v>
      </c>
      <c r="BC26" s="242">
        <f>IF(AND(OR($F26="B",$F26="C"),$F5&gt;0),$R5/'DATI (2)'!$E$13,0)</f>
        <v>0</v>
      </c>
      <c r="BD26" s="244">
        <f>IF(AND(AND(OR($F26="B",$F26="C")),$F5&gt;0),$Z26,0)</f>
        <v>0</v>
      </c>
      <c r="BE26" s="242">
        <f>IF(AND(OR($F26="B",$F26="C"),$F5=0),$R5/'DATI (2)'!$E$13,0)</f>
        <v>0</v>
      </c>
      <c r="BF26" s="244">
        <f>IF(AND((OR($F26="B",$F26="C")),$F5=0,R5&gt;0),$Z26*$BT26,0)</f>
        <v>0</v>
      </c>
      <c r="BG26" s="242">
        <f>IF(AND(OR($F26="B",$F26="C")),$S5/'DATI (2)'!$E$13,0)</f>
        <v>0</v>
      </c>
      <c r="BH26" s="244">
        <f>IF(AND((OR($F26="B",$F26="C")),$S5&gt;0),$Z26*$BU26,0)</f>
        <v>0</v>
      </c>
      <c r="BJ26" s="242">
        <f>IF(AND($F26="A",$F5&gt;0),$R5/'DATI (2)'!$E$13,0)</f>
        <v>112</v>
      </c>
      <c r="BK26" s="244">
        <f>IF(AND($F26="a",$F5&gt;0),$Z26,0)</f>
        <v>29546.11142144</v>
      </c>
      <c r="BL26" s="242">
        <f>IF(AND($F26="A",$F5=0),$R5/'DATI (2)'!$E$13,0)</f>
        <v>0</v>
      </c>
      <c r="BM26" s="244">
        <f>IF(AND($F26="a",$F5=0,R5&gt;0),$Z26*$BT26,0)</f>
        <v>0</v>
      </c>
      <c r="BN26" s="242">
        <f>IF(AND($F26="A"),$S5/'DATI (2)'!$E$13,0)</f>
        <v>0</v>
      </c>
      <c r="BO26" s="244">
        <f>IF(AND($F26="a",$S5&gt;0),$Z26*$BU26,0)</f>
        <v>0</v>
      </c>
      <c r="BQ26" s="245">
        <f>Q5</f>
        <v>112</v>
      </c>
      <c r="BR26" s="245">
        <f>R5/'DATI (2)'!$E$13</f>
        <v>112</v>
      </c>
      <c r="BS26" s="245">
        <f>S5/'DATI (2)'!$E$14</f>
        <v>0</v>
      </c>
      <c r="BT26" s="245">
        <f>BR26/BQ26</f>
        <v>1</v>
      </c>
      <c r="BU26" s="245">
        <f>BS26/BQ26</f>
        <v>0</v>
      </c>
      <c r="BW26" s="68">
        <f>IF(F26="E",$Q$41*G26/$AI$41,0)</f>
        <v>0</v>
      </c>
    </row>
    <row r="27" spans="4:75" ht="19.5" customHeight="1">
      <c r="D27" s="246">
        <f>D6</f>
        <v>26</v>
      </c>
      <c r="E27" s="247">
        <f>F6</f>
        <v>0</v>
      </c>
      <c r="F27" s="248" t="str">
        <f>N6</f>
        <v>A</v>
      </c>
      <c r="G27" s="249">
        <f>Q6</f>
        <v>70</v>
      </c>
      <c r="H27" s="250">
        <f>AC6</f>
        <v>7980.700000000001</v>
      </c>
      <c r="I27" s="250"/>
      <c r="J27" s="250"/>
      <c r="K27" s="251">
        <f>(H27)*0.1</f>
        <v>798.0700000000002</v>
      </c>
      <c r="L27" s="251"/>
      <c r="M27" s="252">
        <f>IF($C$5="s",IF(SUM($H$41)&lt;=1000000,SUM(H27)*0.02,SUM(H27)*0.01),0)</f>
        <v>159.614</v>
      </c>
      <c r="N27" s="252"/>
      <c r="O27" s="253">
        <f>(M27*(0.04))</f>
        <v>6.3845600000000005</v>
      </c>
      <c r="P27" s="254">
        <f>(M27+O27)*0.22</f>
        <v>36.5196832</v>
      </c>
      <c r="Q27" s="255">
        <f>IF(F27="E",G27*12,0)</f>
        <v>0</v>
      </c>
      <c r="R27" s="256">
        <f>BW27*0.22</f>
        <v>0</v>
      </c>
      <c r="S27" s="257">
        <f>IF(F27="E",H27*1.5%,0)</f>
        <v>0</v>
      </c>
      <c r="T27" s="258">
        <f>S27*0.02</f>
        <v>0</v>
      </c>
      <c r="U27" s="259">
        <f>(S27+T27)*0.22</f>
        <v>0</v>
      </c>
      <c r="V27" s="255">
        <f>H27*0.15</f>
        <v>1197.105</v>
      </c>
      <c r="W27" s="253">
        <f>V27*0.04</f>
        <v>47.8842</v>
      </c>
      <c r="X27" s="260">
        <f>0.22*(W27+V27)</f>
        <v>273.897624</v>
      </c>
      <c r="Y27" s="261">
        <f>SUM(K27:X27)-Q27+BW27</f>
        <v>2519.4750672</v>
      </c>
      <c r="Z27" s="262">
        <f>Y27+H27</f>
        <v>10500.175067200002</v>
      </c>
      <c r="AA27" s="262"/>
      <c r="AB27" s="240"/>
      <c r="AC27" s="240"/>
      <c r="AF27" s="151"/>
      <c r="AG27" s="151"/>
      <c r="AH27" s="241">
        <f>IF($N6="E",$T6,0)</f>
        <v>0</v>
      </c>
      <c r="AI27" s="241">
        <f>IF(OR($F27="E",$F27="E"),$G27,0)</f>
        <v>0</v>
      </c>
      <c r="AJ27" s="241">
        <f>IF(OR($F27="B",$F27="C"),$G27,0)</f>
        <v>0</v>
      </c>
      <c r="AK27" s="241">
        <f>IF($F27="A",$G27,0)</f>
        <v>70</v>
      </c>
      <c r="AL27" s="241">
        <f>IF($N6="A",$F6,0)</f>
        <v>0</v>
      </c>
      <c r="AM27" s="241">
        <f>IF(AND($F27="A",$F6&gt;0),$G27,0)</f>
        <v>0</v>
      </c>
      <c r="AN27" s="241">
        <f>IF($F6&gt;0,$G27,0)</f>
        <v>0</v>
      </c>
      <c r="AQ27" s="242">
        <f>IF($N6="E",$R6/'DATI (2)'!$E$13,0)</f>
        <v>0</v>
      </c>
      <c r="AR27" s="242">
        <f>IF($N6="E",$S6/'DATI (2)'!$E$14,0)</f>
        <v>0</v>
      </c>
      <c r="AS27" s="243">
        <f>($R6)/'DATI (2)'!$E$13</f>
        <v>0</v>
      </c>
      <c r="AT27" s="243">
        <f>$S6/'DATI (2)'!$E$14</f>
        <v>70</v>
      </c>
      <c r="AV27" s="242">
        <f>IF(AND($F27="E",$F6&gt;0),$R6/'DATI (2)'!$E$13,0)</f>
        <v>0</v>
      </c>
      <c r="AW27" s="244">
        <f>IF(AND($F27="E",$F6&gt;0),$Z27,0)</f>
        <v>0</v>
      </c>
      <c r="AX27" s="242">
        <f>IF(AND($F27="E",$F6=0),$R6/'DATI (2)'!$E$13,0)</f>
        <v>0</v>
      </c>
      <c r="AY27" s="244">
        <f>IF(AND($F27="E",$F6=0,R6&gt;0),$Z27*$BT27,0)</f>
        <v>0</v>
      </c>
      <c r="AZ27" s="242">
        <f>IF(AND($F27="E"),$S6/'DATI (2)'!$E$13,0)</f>
        <v>0</v>
      </c>
      <c r="BA27" s="244">
        <f>IF(AND($F27="E",$S6&gt;0),$Z27*$BU27,0)</f>
        <v>0</v>
      </c>
      <c r="BC27" s="242">
        <f>IF(AND(OR($F27="B",$F27="C"),$F6&gt;0),$R6/'DATI (2)'!$E$13,0)</f>
        <v>0</v>
      </c>
      <c r="BD27" s="244">
        <f>IF(AND(AND(OR($F27="B",$F27="C")),$F6&gt;0),$Z27,0)</f>
        <v>0</v>
      </c>
      <c r="BE27" s="242">
        <f>IF(AND(OR($F27="B",$F27="C"),$F6=0),$R6/'DATI (2)'!$E$13,0)</f>
        <v>0</v>
      </c>
      <c r="BF27" s="244">
        <f>IF(AND((OR($F27="B",$F27="C")),$F6=0,R6&gt;0),$Z27*$BT27,0)</f>
        <v>0</v>
      </c>
      <c r="BG27" s="242">
        <f>IF(AND(OR($F27="B",$F27="C")),$S6/'DATI (2)'!$E$13,0)</f>
        <v>0</v>
      </c>
      <c r="BH27" s="244">
        <f>IF(AND((OR($F27="B",$F27="C")),$S6&gt;0),$Z27*$BU27,0)</f>
        <v>0</v>
      </c>
      <c r="BJ27" s="242">
        <f>IF(AND($F27="A",$F6&gt;0),$R6/'DATI (2)'!$E$13,0)</f>
        <v>0</v>
      </c>
      <c r="BK27" s="244">
        <f>IF(AND($F27="a",$F6&gt;0),$Z27,0)</f>
        <v>0</v>
      </c>
      <c r="BL27" s="242">
        <f>IF(AND($F27="A",$F6=0),$R6/'DATI (2)'!$E$13,0)</f>
        <v>0</v>
      </c>
      <c r="BM27" s="244">
        <f>IF(AND($F27="a",$F6=0,R6&gt;0),$Z27*$BT27,0)</f>
        <v>0</v>
      </c>
      <c r="BN27" s="242">
        <f>IF(AND($F27="A"),$S6/'DATI (2)'!$E$13,0)</f>
        <v>70</v>
      </c>
      <c r="BO27" s="244">
        <f>IF(AND($F27="a",$S6&gt;0),$Z27*$BU27,0)</f>
        <v>10500.175067200002</v>
      </c>
      <c r="BQ27" s="245">
        <f>Q6</f>
        <v>70</v>
      </c>
      <c r="BR27" s="245">
        <f>R6/'DATI (2)'!$E$13</f>
        <v>0</v>
      </c>
      <c r="BS27" s="245">
        <f>S6/'DATI (2)'!$E$14</f>
        <v>70</v>
      </c>
      <c r="BT27" s="245">
        <f>BR27/BQ27</f>
        <v>0</v>
      </c>
      <c r="BU27" s="245">
        <f>BS27/BQ27</f>
        <v>1</v>
      </c>
      <c r="BW27" s="68">
        <f>IF(F27="E",$Q$41*G27/$AI$41,0)</f>
        <v>0</v>
      </c>
    </row>
    <row r="28" spans="4:75" ht="19.5" customHeight="1">
      <c r="D28" s="246">
        <f>D7</f>
        <v>62</v>
      </c>
      <c r="E28" s="247">
        <f>F7</f>
        <v>0</v>
      </c>
      <c r="F28" s="248" t="str">
        <f>N7</f>
        <v>E</v>
      </c>
      <c r="G28" s="249">
        <f>Q7</f>
        <v>124</v>
      </c>
      <c r="H28" s="250">
        <f>AC7</f>
        <v>134557.856</v>
      </c>
      <c r="I28" s="250"/>
      <c r="J28" s="250"/>
      <c r="K28" s="251">
        <f>(H28)*0.1</f>
        <v>13455.785600000001</v>
      </c>
      <c r="L28" s="251"/>
      <c r="M28" s="252">
        <f>IF($C$5="s",IF(SUM($H$41)&lt;=1000000,SUM(H28)*0.02,SUM(H28)*0.01),0)</f>
        <v>2691.15712</v>
      </c>
      <c r="N28" s="252"/>
      <c r="O28" s="253">
        <f>(M28*(0.04))</f>
        <v>107.64628479999999</v>
      </c>
      <c r="P28" s="254">
        <f>(M28+O28)*0.22</f>
        <v>615.736749056</v>
      </c>
      <c r="Q28" s="255">
        <f>IF(F28="E",G28*12,0)</f>
        <v>1488</v>
      </c>
      <c r="R28" s="256">
        <f>BW28*0.22</f>
        <v>733.3333333333334</v>
      </c>
      <c r="S28" s="257">
        <f>IF(F28="E",H28*1.5%,0)</f>
        <v>2018.36784</v>
      </c>
      <c r="T28" s="258">
        <f>S28*0.02</f>
        <v>40.367356799999996</v>
      </c>
      <c r="U28" s="259">
        <f>(S28+T28)*0.22</f>
        <v>452.921743296</v>
      </c>
      <c r="V28" s="255">
        <f>H28*0.15</f>
        <v>20183.6784</v>
      </c>
      <c r="W28" s="253">
        <f>V28*0.04</f>
        <v>807.3471360000001</v>
      </c>
      <c r="X28" s="260">
        <f>0.22*(W28+V28)</f>
        <v>4618.0256179200005</v>
      </c>
      <c r="Y28" s="261">
        <f>SUM(K28:X28)-Q28+BW28</f>
        <v>49057.70051453867</v>
      </c>
      <c r="Z28" s="262">
        <f>Y28+H28</f>
        <v>183615.55651453868</v>
      </c>
      <c r="AA28" s="262"/>
      <c r="AB28" s="240"/>
      <c r="AC28" s="240"/>
      <c r="AF28" s="151"/>
      <c r="AG28" s="151"/>
      <c r="AH28" s="241">
        <f>IF($N7="E",$T7,0)</f>
        <v>105.39999999999999</v>
      </c>
      <c r="AI28" s="241">
        <f>IF(OR($F28="E",$F28="E"),$G28,0)</f>
        <v>124</v>
      </c>
      <c r="AJ28" s="241">
        <f>IF(OR($F28="B",$F28="C"),$G28,0)</f>
        <v>0</v>
      </c>
      <c r="AK28" s="241">
        <f>IF($F28="A",$G28,0)</f>
        <v>0</v>
      </c>
      <c r="AL28" s="241">
        <f>IF($N7="A",$F7,0)</f>
        <v>0</v>
      </c>
      <c r="AM28" s="241">
        <f>IF(AND($F28="A",$F7&gt;0),$G28,0)</f>
        <v>0</v>
      </c>
      <c r="AN28" s="241">
        <f>IF($F7&gt;0,$G28,0)</f>
        <v>0</v>
      </c>
      <c r="AQ28" s="242">
        <f>IF($N7="E",$R7/'DATI (2)'!$E$13,0)</f>
        <v>124</v>
      </c>
      <c r="AR28" s="242">
        <f>IF($N7="E",$S7/'DATI (2)'!$E$14,0)</f>
        <v>0</v>
      </c>
      <c r="AS28" s="243">
        <f>($R7)/'DATI (2)'!$E$13</f>
        <v>124</v>
      </c>
      <c r="AT28" s="243">
        <f>$S7/'DATI (2)'!$E$14</f>
        <v>0</v>
      </c>
      <c r="AV28" s="242">
        <f>IF(AND($F28="E",$F7&gt;0),$R7/'DATI (2)'!$E$13,0)</f>
        <v>0</v>
      </c>
      <c r="AW28" s="244">
        <f>IF(AND($F28="E",$F7&gt;0),$Z28,0)</f>
        <v>0</v>
      </c>
      <c r="AX28" s="242">
        <f>IF(AND($F28="E",$F7=0),$R7/'DATI (2)'!$E$13,0)</f>
        <v>124</v>
      </c>
      <c r="AY28" s="244">
        <f>IF(AND($F28="E",$F7=0,R7&gt;0),$Z28*$BT28,0)</f>
        <v>183615.55651453868</v>
      </c>
      <c r="AZ28" s="242">
        <f>IF(AND($F28="E"),$S7/'DATI (2)'!$E$13,0)</f>
        <v>0</v>
      </c>
      <c r="BA28" s="244">
        <f>IF(AND($F28="E",$S7&gt;0),$Z28*$BU28,0)</f>
        <v>0</v>
      </c>
      <c r="BC28" s="242">
        <f>IF(AND(OR($F28="B",$F28="C"),$F7&gt;0),$R7/'DATI (2)'!$E$13,0)</f>
        <v>0</v>
      </c>
      <c r="BD28" s="244">
        <f>IF(AND(AND(OR($F28="B",$F28="C")),$F7&gt;0),$Z28,0)</f>
        <v>0</v>
      </c>
      <c r="BE28" s="242">
        <f>IF(AND(OR($F28="B",$F28="C"),$F7=0),$R7/'DATI (2)'!$E$13,0)</f>
        <v>0</v>
      </c>
      <c r="BF28" s="244">
        <f>IF(AND((OR($F28="B",$F28="C")),$F7=0,R7&gt;0),$Z28*$BT28,0)</f>
        <v>0</v>
      </c>
      <c r="BG28" s="242">
        <f>IF(AND(OR($F28="B",$F28="C")),$S7/'DATI (2)'!$E$13,0)</f>
        <v>0</v>
      </c>
      <c r="BH28" s="244">
        <f>IF(AND((OR($F28="B",$F28="C")),$S7&gt;0),$Z28*$BU28,0)</f>
        <v>0</v>
      </c>
      <c r="BJ28" s="242">
        <f>IF(AND($F28="A",$F7&gt;0),$R7/'DATI (2)'!$E$13,0)</f>
        <v>0</v>
      </c>
      <c r="BK28" s="244">
        <f>IF(AND($F28="a",$F7&gt;0),$Z28,0)</f>
        <v>0</v>
      </c>
      <c r="BL28" s="242">
        <f>IF(AND($F28="A",$F7=0),$R7/'DATI (2)'!$E$13,0)</f>
        <v>0</v>
      </c>
      <c r="BM28" s="244">
        <f>IF(AND($F28="a",$F7=0,R7&gt;0),$Z28*$BT28,0)</f>
        <v>0</v>
      </c>
      <c r="BN28" s="242">
        <f>IF(AND($F28="A"),$S7/'DATI (2)'!$E$13,0)</f>
        <v>0</v>
      </c>
      <c r="BO28" s="244">
        <f>IF(AND($F28="a",$S7&gt;0),$Z28*$BU28,0)</f>
        <v>0</v>
      </c>
      <c r="BQ28" s="245">
        <f>Q7</f>
        <v>124</v>
      </c>
      <c r="BR28" s="245">
        <f>R7/'DATI (2)'!$E$13</f>
        <v>124</v>
      </c>
      <c r="BS28" s="245">
        <f>S7/'DATI (2)'!$E$14</f>
        <v>0</v>
      </c>
      <c r="BT28" s="245">
        <f>BR28/BQ28</f>
        <v>1</v>
      </c>
      <c r="BU28" s="245">
        <f>BS28/BQ28</f>
        <v>0</v>
      </c>
      <c r="BW28" s="263">
        <f>IF(F28="E",$Q$41*G28/$AI$41,0)</f>
        <v>3333.3333333333335</v>
      </c>
    </row>
    <row r="29" spans="4:75" ht="19.5" customHeight="1">
      <c r="D29" s="246">
        <f>D8</f>
        <v>62</v>
      </c>
      <c r="E29" s="247">
        <f>F8</f>
        <v>0</v>
      </c>
      <c r="F29" s="248" t="str">
        <f>N8</f>
        <v>E</v>
      </c>
      <c r="G29" s="249">
        <f>Q8</f>
        <v>62</v>
      </c>
      <c r="H29" s="250">
        <f>AC8</f>
        <v>40878.0128</v>
      </c>
      <c r="I29" s="250"/>
      <c r="J29" s="250"/>
      <c r="K29" s="251">
        <f>(H29)*0.1</f>
        <v>4087.8012799999997</v>
      </c>
      <c r="L29" s="251"/>
      <c r="M29" s="252">
        <f>IF($C$5="s",IF(SUM($H$41)&lt;=1000000,SUM(H29)*0.02,SUM(H29)*0.01),0)</f>
        <v>817.560256</v>
      </c>
      <c r="N29" s="252"/>
      <c r="O29" s="253">
        <f>(M29*(0.04))</f>
        <v>32.70241024</v>
      </c>
      <c r="P29" s="254">
        <f>(M29+O29)*0.22</f>
        <v>187.05778657279998</v>
      </c>
      <c r="Q29" s="255">
        <f>IF(F29="E",G29*12,0)</f>
        <v>744</v>
      </c>
      <c r="R29" s="256">
        <f>BW29*0.22</f>
        <v>366.6666666666667</v>
      </c>
      <c r="S29" s="257">
        <f>IF(F29="E",H29*1.5%,0)</f>
        <v>613.1701919999999</v>
      </c>
      <c r="T29" s="258">
        <f>S29*0.02</f>
        <v>12.263403839999999</v>
      </c>
      <c r="U29" s="259">
        <f>(S29+T29)*0.22</f>
        <v>137.59539108479999</v>
      </c>
      <c r="V29" s="255">
        <f>H29*0.15</f>
        <v>6131.7019199999995</v>
      </c>
      <c r="W29" s="253">
        <f>V29*0.04</f>
        <v>245.2680768</v>
      </c>
      <c r="X29" s="260">
        <f>0.22*(W29+V29)</f>
        <v>1402.9333992959998</v>
      </c>
      <c r="Y29" s="261">
        <f>SUM(K29:X29)-Q29+BW29</f>
        <v>15701.38744916693</v>
      </c>
      <c r="Z29" s="262">
        <f>Y29+H29</f>
        <v>56579.40024916692</v>
      </c>
      <c r="AA29" s="262"/>
      <c r="AB29" s="240"/>
      <c r="AC29" s="240"/>
      <c r="AF29" s="151"/>
      <c r="AG29" s="151"/>
      <c r="AH29" s="241">
        <f>IF($N8="E",$T8,0)</f>
        <v>32.019999999999996</v>
      </c>
      <c r="AI29" s="241">
        <f>IF(OR($F29="E",$F29="E"),$G29,0)</f>
        <v>62</v>
      </c>
      <c r="AJ29" s="241">
        <f>IF(OR($F29="B",$F29="C"),$G29,0)</f>
        <v>0</v>
      </c>
      <c r="AK29" s="241">
        <f>IF($F29="A",$G29,0)</f>
        <v>0</v>
      </c>
      <c r="AL29" s="241">
        <f>IF($N8="A",$F8,0)</f>
        <v>0</v>
      </c>
      <c r="AM29" s="241">
        <f>IF(AND($F29="A",$F8&gt;0),$G29,0)</f>
        <v>0</v>
      </c>
      <c r="AN29" s="241">
        <f>IF($F8&gt;0,$G29,0)</f>
        <v>0</v>
      </c>
      <c r="AQ29" s="242">
        <f>IF($N8="E",$R8/'DATI (2)'!$E$13,0)</f>
        <v>1.1764705882352857</v>
      </c>
      <c r="AR29" s="242">
        <f>IF($N8="E",$S8/'DATI (2)'!$E$14,0)</f>
        <v>60.82352941176471</v>
      </c>
      <c r="AS29" s="243">
        <f>($R8)/'DATI (2)'!$E$13</f>
        <v>1.1764705882352857</v>
      </c>
      <c r="AT29" s="243">
        <f>$S8/'DATI (2)'!$E$14</f>
        <v>60.82352941176471</v>
      </c>
      <c r="AV29" s="242">
        <f>IF(AND($F29="E",$F8&gt;0),$R8/'DATI (2)'!$E$13,0)</f>
        <v>0</v>
      </c>
      <c r="AW29" s="244">
        <f>IF(AND($F29="E",$F8&gt;0),$Z29,0)</f>
        <v>0</v>
      </c>
      <c r="AX29" s="242">
        <f>IF(AND($F29="E",$F8=0),$R8/'DATI (2)'!$E$13,0)</f>
        <v>1.1764705882352857</v>
      </c>
      <c r="AY29" s="244">
        <f>IF(AND($F29="E",$F8=0,R8&gt;0),$Z29*$BT29,0)</f>
        <v>1073.6129079538239</v>
      </c>
      <c r="AZ29" s="242">
        <f>IF(AND($F29="E"),$S8/'DATI (2)'!$E$13,0)</f>
        <v>60.82352941176471</v>
      </c>
      <c r="BA29" s="244">
        <f>IF(AND($F29="E",$S8&gt;0),$Z29*$BU29,0)</f>
        <v>55505.787341213094</v>
      </c>
      <c r="BC29" s="242">
        <f>IF(AND(OR($F29="B",$F29="C"),$F8&gt;0),$R8/'DATI (2)'!$E$13,0)</f>
        <v>0</v>
      </c>
      <c r="BD29" s="244">
        <f>IF(AND(AND(OR($F29="B",$F29="C")),$F8&gt;0),$Z29,0)</f>
        <v>0</v>
      </c>
      <c r="BE29" s="242">
        <f>IF(AND(OR($F29="B",$F29="C"),$F8=0),$R8/'DATI (2)'!$E$13,0)</f>
        <v>0</v>
      </c>
      <c r="BF29" s="244">
        <f>IF(AND((OR($F29="B",$F29="C")),$F8=0,R8&gt;0),$Z29*$BT29,0)</f>
        <v>0</v>
      </c>
      <c r="BG29" s="242">
        <f>IF(AND(OR($F29="B",$F29="C")),$S8/'DATI (2)'!$E$13,0)</f>
        <v>0</v>
      </c>
      <c r="BH29" s="244">
        <f>IF(AND((OR($F29="B",$F29="C")),$S8&gt;0),$Z29*$BU29,0)</f>
        <v>0</v>
      </c>
      <c r="BJ29" s="242">
        <f>IF(AND($F29="A",$F8&gt;0),$R8/'DATI (2)'!$E$13,0)</f>
        <v>0</v>
      </c>
      <c r="BK29" s="244">
        <f>IF(AND($F29="a",$F8&gt;0),$Z29,0)</f>
        <v>0</v>
      </c>
      <c r="BL29" s="242">
        <f>IF(AND($F29="A",$F8=0),$R8/'DATI (2)'!$E$13,0)</f>
        <v>0</v>
      </c>
      <c r="BM29" s="244">
        <f>IF(AND($F29="a",$F8=0,R8&gt;0),$Z29*$BT29,0)</f>
        <v>0</v>
      </c>
      <c r="BN29" s="242">
        <f>IF(AND($F29="A"),$S8/'DATI (2)'!$E$13,0)</f>
        <v>0</v>
      </c>
      <c r="BO29" s="244">
        <f>IF(AND($F29="a",$S8&gt;0),$Z29*$BU29,0)</f>
        <v>0</v>
      </c>
      <c r="BQ29" s="245">
        <f>Q8</f>
        <v>62</v>
      </c>
      <c r="BR29" s="245">
        <f>R8/'DATI (2)'!$E$13</f>
        <v>1.1764705882352857</v>
      </c>
      <c r="BS29" s="245">
        <f>S8/'DATI (2)'!$E$14</f>
        <v>60.82352941176471</v>
      </c>
      <c r="BT29" s="245">
        <f>BR29/BQ29</f>
        <v>0.01897533206831106</v>
      </c>
      <c r="BU29" s="245">
        <f>BS29/BQ29</f>
        <v>0.9810246679316889</v>
      </c>
      <c r="BW29" s="263">
        <f>IF(F29="E",$Q$41*G29/$AI$41,0)</f>
        <v>1666.6666666666667</v>
      </c>
    </row>
    <row r="30" spans="4:75" ht="19.5" customHeight="1">
      <c r="D30" s="246"/>
      <c r="E30" s="247"/>
      <c r="F30" s="248"/>
      <c r="G30" s="249"/>
      <c r="H30" s="250">
        <f>AC9</f>
        <v>8664.76</v>
      </c>
      <c r="I30" s="250"/>
      <c r="J30" s="250"/>
      <c r="K30" s="251">
        <f>(H30)*0.1</f>
        <v>866.4760000000001</v>
      </c>
      <c r="L30" s="251"/>
      <c r="M30" s="252">
        <f>IF($C$5="s",IF(SUM($H$41)&lt;=1000000,SUM(H30)*0.02,SUM(H30)*0.01),0)</f>
        <v>173.2952</v>
      </c>
      <c r="N30" s="252"/>
      <c r="O30" s="253">
        <f>(M30*(0.04))</f>
        <v>6.931808</v>
      </c>
      <c r="P30" s="254">
        <f>(M30+O30)*0.22</f>
        <v>39.64994176</v>
      </c>
      <c r="Q30" s="255">
        <f>IF(F30="E",G30*12,0)</f>
        <v>0</v>
      </c>
      <c r="R30" s="256">
        <f>BW30*0.22</f>
        <v>0</v>
      </c>
      <c r="S30" s="257">
        <f>IF(F30="E",H30*1.5%,0)</f>
        <v>0</v>
      </c>
      <c r="T30" s="258">
        <f>S30*0.02</f>
        <v>0</v>
      </c>
      <c r="U30" s="259">
        <f>(S30+T30)*0.22</f>
        <v>0</v>
      </c>
      <c r="V30" s="255">
        <f>H30*0.15</f>
        <v>1299.714</v>
      </c>
      <c r="W30" s="253">
        <f>V30*0.04</f>
        <v>51.98856</v>
      </c>
      <c r="X30" s="260">
        <f>0.22*(W30+V30)</f>
        <v>297.3745632</v>
      </c>
      <c r="Y30" s="261">
        <f>SUM(K30:X30)-Q30+BW30</f>
        <v>2735.43007296</v>
      </c>
      <c r="Z30" s="262">
        <f>Y30+H30</f>
        <v>11400.19007296</v>
      </c>
      <c r="AA30" s="262"/>
      <c r="AB30" s="240"/>
      <c r="AC30" s="240"/>
      <c r="AF30" s="151"/>
      <c r="AG30" s="151"/>
      <c r="AH30" s="241">
        <f>IF($N9="E",$T9,0)</f>
        <v>0</v>
      </c>
      <c r="AI30" s="241">
        <f>IF(OR($F30="E",$F30="E"),$G30,0)</f>
        <v>0</v>
      </c>
      <c r="AJ30" s="241">
        <f>IF(OR($F30="B",$F30="C"),$G30,0)</f>
        <v>0</v>
      </c>
      <c r="AK30" s="241">
        <f>IF($F30="A",$G30,0)</f>
        <v>0</v>
      </c>
      <c r="AL30" s="241">
        <f>IF($N9="A",$F9,0)</f>
        <v>0</v>
      </c>
      <c r="AM30" s="241">
        <f>IF(AND($F30="A",$F9&gt;0),$G30,0)</f>
        <v>0</v>
      </c>
      <c r="AN30" s="241">
        <f>IF($F9&gt;0,$G30,0)</f>
        <v>0</v>
      </c>
      <c r="AQ30" s="242">
        <f>IF($N9="E",$R9/'DATI (2)'!$E$13,0)</f>
        <v>0</v>
      </c>
      <c r="AR30" s="242">
        <f>IF($N9="E",$S9/'DATI (2)'!$E$14,0)</f>
        <v>0</v>
      </c>
      <c r="AS30" s="243">
        <f>($R9)/'DATI (2)'!$E$13</f>
        <v>76</v>
      </c>
      <c r="AT30" s="243">
        <f>$S9/'DATI (2)'!$E$14</f>
        <v>0</v>
      </c>
      <c r="AV30" s="242">
        <f>IF(AND($F30="E",$F9&gt;0),$R9/'DATI (2)'!$E$13,0)</f>
        <v>0</v>
      </c>
      <c r="AW30" s="244">
        <f>IF(AND($F30="E",$F9&gt;0),$Z30,0)</f>
        <v>0</v>
      </c>
      <c r="AX30" s="242">
        <f>IF(AND($F30="E",$F9=0),$R9/'DATI (2)'!$E$13,0)</f>
        <v>0</v>
      </c>
      <c r="AY30" s="244">
        <f>IF(AND($F30="E",$F9=0,R9&gt;0),$Z30*$BT30,0)</f>
        <v>0</v>
      </c>
      <c r="AZ30" s="242">
        <f>IF(AND($F30="E"),$S9/'DATI (2)'!$E$13,0)</f>
        <v>0</v>
      </c>
      <c r="BA30" s="244">
        <f>IF(AND($F30="E",$S9&gt;0),$Z30*$BU30,0)</f>
        <v>0</v>
      </c>
      <c r="BC30" s="242">
        <f>IF(AND(OR($F30="B",$F30="C"),$F9&gt;0),$R9/'DATI (2)'!$E$13,0)</f>
        <v>0</v>
      </c>
      <c r="BD30" s="244">
        <f>IF(AND(AND(OR($F30="B",$F30="C")),$F9&gt;0),$Z30,0)</f>
        <v>0</v>
      </c>
      <c r="BE30" s="242">
        <f>IF(AND(OR($F30="B",$F30="C"),$F9=0),$R9/'DATI (2)'!$E$13,0)</f>
        <v>0</v>
      </c>
      <c r="BF30" s="244">
        <f>IF(AND((OR($F30="B",$F30="C")),$F9=0,R9&gt;0),$Z30*$BT30,0)</f>
        <v>0</v>
      </c>
      <c r="BG30" s="242">
        <f>IF(AND(OR($F30="B",$F30="C")),$S9/'DATI (2)'!$E$13,0)</f>
        <v>0</v>
      </c>
      <c r="BH30" s="244">
        <f>IF(AND((OR($F30="B",$F30="C")),$S9&gt;0),$Z30*$BU30,0)</f>
        <v>0</v>
      </c>
      <c r="BJ30" s="242">
        <f>IF(AND($F30="A",$F9&gt;0),$R9/'DATI (2)'!$E$13,0)</f>
        <v>0</v>
      </c>
      <c r="BK30" s="244">
        <f>IF(AND($F30="a",$F9&gt;0),$Z30*BT30,0)</f>
        <v>0</v>
      </c>
      <c r="BL30" s="242">
        <v>76</v>
      </c>
      <c r="BM30" s="244">
        <f>V9*1.315694</f>
        <v>11400.17274344</v>
      </c>
      <c r="BN30" s="242">
        <f>IF(AND($F30="A"),$S9/'DATI (2)'!$E$13,0)</f>
        <v>0</v>
      </c>
      <c r="BO30" s="244">
        <f>IF(AND($F30="a",$S9&gt;0),$Z30*$BU30,0)</f>
        <v>0</v>
      </c>
      <c r="BQ30" s="245">
        <f>Q9</f>
        <v>76</v>
      </c>
      <c r="BR30" s="245">
        <f>R9/'DATI (2)'!$E$13</f>
        <v>76</v>
      </c>
      <c r="BS30" s="245">
        <f>S9/'DATI (2)'!$E$14</f>
        <v>0</v>
      </c>
      <c r="BT30" s="245">
        <f>BR30/BQ30</f>
        <v>1</v>
      </c>
      <c r="BU30" s="245">
        <f>BS30/BQ30</f>
        <v>0</v>
      </c>
      <c r="BW30" s="263">
        <f>IF(F30="E",$Q$41*G30/$AI$41,0)</f>
        <v>0</v>
      </c>
    </row>
    <row r="31" spans="4:75" ht="19.5" customHeight="1">
      <c r="D31" s="246"/>
      <c r="E31" s="247"/>
      <c r="F31" s="248"/>
      <c r="G31" s="249"/>
      <c r="H31" s="250">
        <f>AC10</f>
        <v>4332.38</v>
      </c>
      <c r="I31" s="250"/>
      <c r="J31" s="250"/>
      <c r="K31" s="251">
        <f>(H31)*0.1</f>
        <v>433.23800000000006</v>
      </c>
      <c r="L31" s="251"/>
      <c r="M31" s="252">
        <f>IF($C$5="s",IF(SUM($H$41)&lt;=1000000,SUM(H31)*0.02,SUM(H31)*0.01),0)</f>
        <v>86.6476</v>
      </c>
      <c r="N31" s="252"/>
      <c r="O31" s="253">
        <f>(M31*(0.04))</f>
        <v>3.465904</v>
      </c>
      <c r="P31" s="254">
        <f>(M31+O31)*0.22</f>
        <v>19.82497088</v>
      </c>
      <c r="Q31" s="255">
        <f>IF(F31="E",G31*12,0)</f>
        <v>0</v>
      </c>
      <c r="R31" s="256">
        <f>BW31*0.22</f>
        <v>0</v>
      </c>
      <c r="S31" s="257">
        <f>IF(F31="E",H31*1.5%,0)</f>
        <v>0</v>
      </c>
      <c r="T31" s="258">
        <f>S31*0.02</f>
        <v>0</v>
      </c>
      <c r="U31" s="259">
        <f>(S31+T31)*0.22</f>
        <v>0</v>
      </c>
      <c r="V31" s="255">
        <f>H31*0.15</f>
        <v>649.857</v>
      </c>
      <c r="W31" s="253">
        <f>V31*0.04</f>
        <v>25.99428</v>
      </c>
      <c r="X31" s="260">
        <f>0.22*(W31+V31)</f>
        <v>148.6872816</v>
      </c>
      <c r="Y31" s="261">
        <f>SUM(K31:X31)-Q31+BW31</f>
        <v>1367.71503648</v>
      </c>
      <c r="Z31" s="262">
        <f>Y31+H31</f>
        <v>5700.09503648</v>
      </c>
      <c r="AA31" s="262"/>
      <c r="AB31" s="240"/>
      <c r="AC31" s="240"/>
      <c r="AF31" s="151"/>
      <c r="AG31" s="151"/>
      <c r="AH31" s="241">
        <f>IF($N10="E",$T10,0)</f>
        <v>0</v>
      </c>
      <c r="AI31" s="241">
        <f>IF(OR($F31="E",$F31="E"),$G31,0)</f>
        <v>0</v>
      </c>
      <c r="AJ31" s="241">
        <f>IF(OR($F31="B",$F31="C"),$G31,0)</f>
        <v>0</v>
      </c>
      <c r="AK31" s="241">
        <f>IF($F31="A",$G31,0)</f>
        <v>0</v>
      </c>
      <c r="AL31" s="241">
        <f>IF($N10="A",$F10,0)</f>
        <v>0</v>
      </c>
      <c r="AM31" s="241">
        <f>IF(AND($F31="A",$F10&gt;0),$G31,0)</f>
        <v>0</v>
      </c>
      <c r="AN31" s="241">
        <f>IF($F10&gt;0,$G31,0)</f>
        <v>0</v>
      </c>
      <c r="AQ31" s="242">
        <f>IF($N10="E",$R10/'DATI (2)'!$E$13,0)</f>
        <v>0</v>
      </c>
      <c r="AR31" s="242">
        <f>IF($N10="E",$S10/'DATI (2)'!$E$14,0)</f>
        <v>0</v>
      </c>
      <c r="AS31" s="243">
        <f>($R10)/'DATI (2)'!$E$13</f>
        <v>0</v>
      </c>
      <c r="AT31" s="243">
        <f>$S10/'DATI (2)'!$E$14</f>
        <v>38</v>
      </c>
      <c r="AV31" s="242">
        <f>IF(AND($F31="E",$F10&gt;0),$R10/'DATI (2)'!$E$13,0)</f>
        <v>0</v>
      </c>
      <c r="AW31" s="244">
        <f>IF(AND($F31="E",$F10&gt;0),$Z31,0)</f>
        <v>0</v>
      </c>
      <c r="AX31" s="242">
        <f>IF(AND($F31="E",$F10=0),$R10/'DATI (2)'!$E$13,0)</f>
        <v>0</v>
      </c>
      <c r="AY31" s="244">
        <f>IF(AND($F31="E",$F10=0,R10&gt;0),$Z31*$BT31,0)</f>
        <v>0</v>
      </c>
      <c r="AZ31" s="242">
        <f>IF(AND($F31="E"),$S10/'DATI (2)'!$E$13,0)</f>
        <v>0</v>
      </c>
      <c r="BA31" s="244">
        <f>IF(AND($F31="E",$S10&gt;0),$Z31*$BU31,0)</f>
        <v>0</v>
      </c>
      <c r="BB31" s="264"/>
      <c r="BC31" s="242">
        <f>IF(AND(OR($F31="B",$F31="C"),$F10&gt;0),$R10/'DATI (2)'!$E$13,0)</f>
        <v>0</v>
      </c>
      <c r="BD31" s="244">
        <f>IF(AND(AND(OR($F31="B",$F31="C")),$F10&gt;0),$Z31,0)</f>
        <v>0</v>
      </c>
      <c r="BE31" s="242">
        <f>IF(AND(OR($F31="B",$F31="C"),$F10=0),$R10/'DATI (2)'!$E$13,0)</f>
        <v>0</v>
      </c>
      <c r="BF31" s="244">
        <f>IF(AND((OR($F31="B",$F31="C")),$F10=0,R10&gt;0),$Z31*$BT31,0)</f>
        <v>0</v>
      </c>
      <c r="BG31" s="242">
        <f>IF(AND(OR($F31="B",$F31="C")),$S10/'DATI (2)'!$E$13,0)</f>
        <v>0</v>
      </c>
      <c r="BH31" s="244">
        <f>IF(AND((OR($F31="B",$F31="C")),$S10&gt;0),$Z31*$BU31,0)</f>
        <v>0</v>
      </c>
      <c r="BJ31" s="242">
        <f>IF(AND($F31="A",$F10&gt;0),$R10/'DATI (2)'!$E$13,0)</f>
        <v>0</v>
      </c>
      <c r="BK31" s="244">
        <f>IF(AND($F31="a",$F10&gt;0),$Z31,0)</f>
        <v>0</v>
      </c>
      <c r="BL31" s="242">
        <v>38</v>
      </c>
      <c r="BM31" s="244">
        <f>V10*1.315697</f>
        <v>5700.099368860001</v>
      </c>
      <c r="BN31" s="242">
        <f>IF(AND($F31="A"),$S10/'DATI (2)'!$E$13,0)</f>
        <v>0</v>
      </c>
      <c r="BO31" s="244">
        <f>IF(AND($F31="a",$S10&gt;0),$Z31*$BU31,0)</f>
        <v>0</v>
      </c>
      <c r="BQ31" s="245">
        <f>Q10</f>
        <v>38</v>
      </c>
      <c r="BR31" s="245">
        <f>R10/'DATI (2)'!$E$13</f>
        <v>0</v>
      </c>
      <c r="BS31" s="245">
        <f>S10/'DATI (2)'!$E$14</f>
        <v>38</v>
      </c>
      <c r="BT31" s="245">
        <f>BR31/BQ31</f>
        <v>0</v>
      </c>
      <c r="BU31" s="245">
        <f>BS31/BQ31</f>
        <v>1</v>
      </c>
      <c r="BW31" s="263">
        <f>IF(F31="E",$Q$41*G31/$AI$41,0)</f>
        <v>0</v>
      </c>
    </row>
    <row r="32" spans="4:75" ht="19.5" customHeight="1">
      <c r="D32" s="246"/>
      <c r="E32" s="247"/>
      <c r="F32" s="248"/>
      <c r="G32" s="249"/>
      <c r="H32" s="250">
        <f>AC11</f>
        <v>0</v>
      </c>
      <c r="I32" s="250"/>
      <c r="J32" s="250"/>
      <c r="K32" s="251">
        <f>(H32)*0.1</f>
        <v>0</v>
      </c>
      <c r="L32" s="251"/>
      <c r="M32" s="252">
        <f>IF($C$5="s",IF(SUM($H$41)&lt;=1000000,SUM(H32)*0.02,SUM(H32)*0.01),0)</f>
        <v>0</v>
      </c>
      <c r="N32" s="252"/>
      <c r="O32" s="253">
        <f>(M32*(0.04))</f>
        <v>0</v>
      </c>
      <c r="P32" s="254">
        <f>(M32+O32)*0.22</f>
        <v>0</v>
      </c>
      <c r="Q32" s="255">
        <f>IF(F32="E",G32*12,0)</f>
        <v>0</v>
      </c>
      <c r="R32" s="256">
        <f>BW32*0.22</f>
        <v>0</v>
      </c>
      <c r="S32" s="257">
        <f>IF(F32="E",H32*1.5%,0)</f>
        <v>0</v>
      </c>
      <c r="T32" s="258">
        <f>S32*0.02</f>
        <v>0</v>
      </c>
      <c r="U32" s="259">
        <f>(S32+T32)*0.22</f>
        <v>0</v>
      </c>
      <c r="V32" s="255">
        <f>H32*0.15</f>
        <v>0</v>
      </c>
      <c r="W32" s="253">
        <f>V32*0.04</f>
        <v>0</v>
      </c>
      <c r="X32" s="260">
        <f>0.22*(W32+V32)</f>
        <v>0</v>
      </c>
      <c r="Y32" s="261">
        <f>SUM(K32:X32)-Q32+BW32</f>
        <v>0</v>
      </c>
      <c r="Z32" s="262">
        <f>Y32+H32</f>
        <v>0</v>
      </c>
      <c r="AA32" s="262"/>
      <c r="AB32" s="240"/>
      <c r="AC32" s="240"/>
      <c r="AF32" s="151"/>
      <c r="AG32" s="151"/>
      <c r="AH32" s="241">
        <f>IF($N11="E",$T11,0)</f>
        <v>0</v>
      </c>
      <c r="AI32" s="241">
        <f>IF(OR($F32="E",$F32="E"),$G32,0)</f>
        <v>0</v>
      </c>
      <c r="AJ32" s="241">
        <f>IF(OR($F32="B",$F32="C"),$G32,0)</f>
        <v>0</v>
      </c>
      <c r="AK32" s="241">
        <f>IF($F32="A",$G32,0)</f>
        <v>0</v>
      </c>
      <c r="AL32" s="241">
        <f>IF($N11="A",$F11,0)</f>
        <v>0</v>
      </c>
      <c r="AM32" s="241">
        <f>IF(AND($F32="A",$F11&gt;0),$G32,0)</f>
        <v>0</v>
      </c>
      <c r="AN32" s="241">
        <f>IF($F11&gt;0,$G32,0)</f>
        <v>0</v>
      </c>
      <c r="AQ32" s="242">
        <f>IF($N11="E",$R11/'DATI (2)'!$E$13,0)</f>
        <v>0</v>
      </c>
      <c r="AR32" s="242">
        <f>IF($N11="E",$S11/'DATI (2)'!$E$14,0)</f>
        <v>0</v>
      </c>
      <c r="AS32" s="243">
        <f>($R11)/'DATI (2)'!$E$13</f>
        <v>0</v>
      </c>
      <c r="AT32" s="243">
        <f>$S11/'DATI (2)'!$E$14</f>
        <v>0</v>
      </c>
      <c r="AV32" s="242">
        <f>IF(AND($F32="E",$F11&gt;0),$R11/'DATI (2)'!$E$13,0)</f>
        <v>0</v>
      </c>
      <c r="AW32" s="244">
        <f>IF(AND($F32="E",$F11&gt;0),$Z32,0)</f>
        <v>0</v>
      </c>
      <c r="AX32" s="242">
        <f>IF(AND($F32="E",$F11=0),$R11/'DATI (2)'!$E$13,0)</f>
        <v>0</v>
      </c>
      <c r="AY32" s="244">
        <f>IF(AND($F32="E",$F11=0,R11&gt;0),$Z32*$BT32,0)</f>
        <v>0</v>
      </c>
      <c r="AZ32" s="242">
        <f>IF(AND($F32="E"),$S11/'DATI (2)'!$E$13,0)</f>
        <v>0</v>
      </c>
      <c r="BA32" s="244">
        <f>IF(AND($F32="E",$S11&gt;0),$Z32*$BU32,0)</f>
        <v>0</v>
      </c>
      <c r="BC32" s="242">
        <f>IF(AND(OR($F32="B",$F32="C"),$F11&gt;0),$R11/'DATI (2)'!$E$13,0)</f>
        <v>0</v>
      </c>
      <c r="BD32" s="244">
        <f>IF(AND(AND(OR($F32="B",$F32="C")),$F11&gt;0),$Z32,0)</f>
        <v>0</v>
      </c>
      <c r="BE32" s="242">
        <f>IF(AND(OR($F32="B",$F32="C"),$F11=0),$R11/'DATI (2)'!$E$13,0)</f>
        <v>0</v>
      </c>
      <c r="BF32" s="244">
        <f>IF(AND((OR($F32="B",$F32="C")),$F11=0,R11&gt;0),$Z32*$BT32,0)</f>
        <v>0</v>
      </c>
      <c r="BG32" s="242">
        <f>IF(AND(OR($F32="B",$F32="C")),$S11/'DATI (2)'!$E$13,0)</f>
        <v>0</v>
      </c>
      <c r="BH32" s="244">
        <f>IF(AND((OR($F32="B",$F32="C")),$S11&gt;0),$Z32*$BU32,0)</f>
        <v>0</v>
      </c>
      <c r="BJ32" s="242">
        <f>IF(AND($F32="A",$F11&gt;0),$R11/'DATI (2)'!$E$13,0)</f>
        <v>0</v>
      </c>
      <c r="BK32" s="244">
        <f>IF(AND($F32="a",$F11&gt;0),$Z32,0)</f>
        <v>0</v>
      </c>
      <c r="BL32" s="242">
        <f>IF(AND($F32="A",$F11=0),$R11/'DATI (2)'!$E$13,0)</f>
        <v>0</v>
      </c>
      <c r="BM32" s="244">
        <f>IF(AND($F32="a",$F11=0,R11&gt;0),$Z32*$BT32,0)</f>
        <v>0</v>
      </c>
      <c r="BN32" s="242">
        <f>IF(AND($F32="A"),$S11/'DATI (2)'!$E$13,0)</f>
        <v>0</v>
      </c>
      <c r="BO32" s="244">
        <f>IF(AND($F32="a",$S11&gt;0),$Z32*$BU32,0)</f>
        <v>0</v>
      </c>
      <c r="BQ32" s="245">
        <f>Q11</f>
        <v>0</v>
      </c>
      <c r="BR32" s="245">
        <f>R11/'DATI (2)'!$E$13</f>
        <v>0</v>
      </c>
      <c r="BS32" s="245">
        <f>S11/'DATI (2)'!$E$14</f>
        <v>0</v>
      </c>
      <c r="BT32" s="245" t="e">
        <f>BR32/BQ32</f>
        <v>#DIV/0!</v>
      </c>
      <c r="BU32" s="245" t="e">
        <f>BS32/BQ32</f>
        <v>#DIV/0!</v>
      </c>
      <c r="BW32" s="68">
        <f>IF(F32="E",$Q$41*G32/$AI$41,0)</f>
        <v>0</v>
      </c>
    </row>
    <row r="33" spans="4:75" ht="19.5" customHeight="1">
      <c r="D33" s="246"/>
      <c r="E33" s="247"/>
      <c r="F33" s="248"/>
      <c r="G33" s="249"/>
      <c r="H33" s="250">
        <f>AC12</f>
        <v>0</v>
      </c>
      <c r="I33" s="250"/>
      <c r="J33" s="250"/>
      <c r="K33" s="251">
        <f>(H33)*0.1</f>
        <v>0</v>
      </c>
      <c r="L33" s="251"/>
      <c r="M33" s="252">
        <f>IF($C$5="s",IF(SUM($H$41)&lt;=1000000,SUM(H33)*0.02,SUM(H33)*0.01),0)</f>
        <v>0</v>
      </c>
      <c r="N33" s="252"/>
      <c r="O33" s="253">
        <f>(M33*(0.04))</f>
        <v>0</v>
      </c>
      <c r="P33" s="254">
        <f>(M33+O33)*0.22</f>
        <v>0</v>
      </c>
      <c r="Q33" s="255">
        <f>IF(F33="E",G33*12,0)</f>
        <v>0</v>
      </c>
      <c r="R33" s="256">
        <f>BW33*0.22</f>
        <v>0</v>
      </c>
      <c r="S33" s="257">
        <f>IF(F33="E",H33*1.5%,0)</f>
        <v>0</v>
      </c>
      <c r="T33" s="258">
        <f>S33*0.02</f>
        <v>0</v>
      </c>
      <c r="U33" s="259">
        <f>(S33+T33)*0.22</f>
        <v>0</v>
      </c>
      <c r="V33" s="255">
        <f>H33*0.15</f>
        <v>0</v>
      </c>
      <c r="W33" s="253">
        <f>V33*0.04</f>
        <v>0</v>
      </c>
      <c r="X33" s="260">
        <f>0.22*(W33+V33)</f>
        <v>0</v>
      </c>
      <c r="Y33" s="261">
        <f>SUM(K33:X33)-Q33+BW33</f>
        <v>0</v>
      </c>
      <c r="Z33" s="262">
        <f>Y33+H33</f>
        <v>0</v>
      </c>
      <c r="AA33" s="262"/>
      <c r="AB33" s="240"/>
      <c r="AC33" s="240"/>
      <c r="AF33" s="151"/>
      <c r="AG33" s="151"/>
      <c r="AH33" s="241">
        <f>IF($N12="E",$T12,0)</f>
        <v>0</v>
      </c>
      <c r="AI33" s="241">
        <f>IF(OR($F33="E",$F33="E"),$G33,0)</f>
        <v>0</v>
      </c>
      <c r="AJ33" s="241">
        <f>IF(OR($F33="B",$F33="C"),$G33,0)</f>
        <v>0</v>
      </c>
      <c r="AK33" s="241">
        <f>IF($F33="A",$G33,0)</f>
        <v>0</v>
      </c>
      <c r="AL33" s="241">
        <f>IF($N12="A",$F12,0)</f>
        <v>0</v>
      </c>
      <c r="AM33" s="241">
        <f>IF(AND($F33="A",$F12&gt;0),$G33,0)</f>
        <v>0</v>
      </c>
      <c r="AN33" s="241">
        <f>IF($F12&gt;0,$G33,0)</f>
        <v>0</v>
      </c>
      <c r="AQ33" s="242">
        <f>IF($N12="E",$R12/'DATI (2)'!$E$13,0)</f>
        <v>0</v>
      </c>
      <c r="AR33" s="242">
        <f>IF($N12="E",$S12/'DATI (2)'!$E$14,0)</f>
        <v>0</v>
      </c>
      <c r="AS33" s="243">
        <f>($R12)/'DATI (2)'!$E$13</f>
        <v>0</v>
      </c>
      <c r="AT33" s="243">
        <f>$S12/'DATI (2)'!$E$14</f>
        <v>0</v>
      </c>
      <c r="AV33" s="242">
        <f>IF(AND($F33="E",$F12&gt;0),$R12/'DATI (2)'!$E$13,0)</f>
        <v>0</v>
      </c>
      <c r="AW33" s="244">
        <f>IF(AND($F33="E",$F12&gt;0),$Z33,0)</f>
        <v>0</v>
      </c>
      <c r="AX33" s="242">
        <f>IF(AND($F33="E",$F12=0),$R12/'DATI (2)'!$E$13,0)</f>
        <v>0</v>
      </c>
      <c r="AY33" s="244">
        <f>IF(AND($F33="E",$F12=0,R12&gt;0),$Z33*$BT33,0)</f>
        <v>0</v>
      </c>
      <c r="AZ33" s="242">
        <f>IF(AND($F33="E"),$S12/'DATI (2)'!$E$13,0)</f>
        <v>0</v>
      </c>
      <c r="BA33" s="244">
        <f>IF(AND($F33="E",$S12&gt;0),$Z33*$BU33,0)</f>
        <v>0</v>
      </c>
      <c r="BC33" s="242">
        <f>IF(AND(OR($F33="B",$F33="C"),$F12&gt;0),$R12/'DATI (2)'!$E$13,0)</f>
        <v>0</v>
      </c>
      <c r="BD33" s="244">
        <f>IF(AND(AND(OR($F33="B",$F33="C")),$F12&gt;0),$Z33,0)</f>
        <v>0</v>
      </c>
      <c r="BE33" s="242">
        <f>IF(AND(OR($F33="B",$F33="C"),$F12=0),$R12/'DATI (2)'!$E$13,0)</f>
        <v>0</v>
      </c>
      <c r="BF33" s="244">
        <f>IF(AND((OR($F33="B",$F33="C")),$F12=0,R12&gt;0),$Z33*$BT33,0)</f>
        <v>0</v>
      </c>
      <c r="BG33" s="242">
        <f>IF(AND(OR($F33="B",$F33="C")),$S12/'DATI (2)'!$E$13,0)</f>
        <v>0</v>
      </c>
      <c r="BH33" s="244">
        <f>IF(AND((OR($F33="B",$F33="C")),$S12&gt;0),$Z33*$BU33,0)</f>
        <v>0</v>
      </c>
      <c r="BJ33" s="242">
        <f>IF(AND($F33="A",$F12&gt;0),$R12/'DATI (2)'!$E$13,0)</f>
        <v>0</v>
      </c>
      <c r="BK33" s="244">
        <f>IF(AND($F33="a",$F12&gt;0),$Z33,0)</f>
        <v>0</v>
      </c>
      <c r="BL33" s="242">
        <f>IF(AND($F33="A",$F12=0),$R12/'DATI (2)'!$E$13,0)</f>
        <v>0</v>
      </c>
      <c r="BM33" s="244">
        <f>IF(AND($F33="a",$F12=0,R12&gt;0),$Z33*$BT33,0)</f>
        <v>0</v>
      </c>
      <c r="BN33" s="242">
        <f>IF(AND($F33="A"),$S12/'DATI (2)'!$E$13,0)</f>
        <v>0</v>
      </c>
      <c r="BO33" s="244">
        <f>IF(AND($F33="a",$S12&gt;0),$Z33*$BU33,0)</f>
        <v>0</v>
      </c>
      <c r="BQ33" s="245">
        <f>Q12</f>
        <v>0</v>
      </c>
      <c r="BR33" s="245">
        <f>R12/'DATI (2)'!$E$13</f>
        <v>0</v>
      </c>
      <c r="BS33" s="245">
        <f>S12/'DATI (2)'!$E$14</f>
        <v>0</v>
      </c>
      <c r="BT33" s="245" t="e">
        <f>BR33/BQ33</f>
        <v>#DIV/0!</v>
      </c>
      <c r="BU33" s="245" t="e">
        <f>BS33/BQ33</f>
        <v>#DIV/0!</v>
      </c>
      <c r="BW33" s="68">
        <f>IF(F33="E",$Q$41*G33/$AI$41,0)</f>
        <v>0</v>
      </c>
    </row>
    <row r="34" spans="4:75" ht="19.5" customHeight="1">
      <c r="D34" s="246"/>
      <c r="E34" s="247"/>
      <c r="F34" s="248"/>
      <c r="G34" s="249"/>
      <c r="H34" s="250">
        <f>AC13</f>
        <v>0</v>
      </c>
      <c r="I34" s="250"/>
      <c r="J34" s="250"/>
      <c r="K34" s="251">
        <f>(H34)*0.1</f>
        <v>0</v>
      </c>
      <c r="L34" s="251"/>
      <c r="M34" s="252">
        <f>IF($C$5="s",IF(SUM($H$41)&lt;=1000000,SUM(H34)*0.02,SUM(H34)*0.01),0)</f>
        <v>0</v>
      </c>
      <c r="N34" s="252"/>
      <c r="O34" s="253">
        <f>(M34*(0.04))</f>
        <v>0</v>
      </c>
      <c r="P34" s="254">
        <f>(M34+O34)*0.22</f>
        <v>0</v>
      </c>
      <c r="Q34" s="255">
        <f>IF(F34="E",G34*12,0)</f>
        <v>0</v>
      </c>
      <c r="R34" s="256">
        <f>BW34*0.22</f>
        <v>0</v>
      </c>
      <c r="S34" s="257">
        <f>IF(F34="E",H34*1.5%,0)</f>
        <v>0</v>
      </c>
      <c r="T34" s="258">
        <f>S34*0.02</f>
        <v>0</v>
      </c>
      <c r="U34" s="259">
        <f>(S34+T34)*0.22</f>
        <v>0</v>
      </c>
      <c r="V34" s="255">
        <f>H34*0.15</f>
        <v>0</v>
      </c>
      <c r="W34" s="253">
        <f>V34*0.04</f>
        <v>0</v>
      </c>
      <c r="X34" s="260">
        <f>0.22*(W34+V34)</f>
        <v>0</v>
      </c>
      <c r="Y34" s="261">
        <f>SUM(K34:X34)-Q34+BW34</f>
        <v>0</v>
      </c>
      <c r="Z34" s="262">
        <f>Y34+H34</f>
        <v>0</v>
      </c>
      <c r="AA34" s="262"/>
      <c r="AB34" s="240"/>
      <c r="AC34" s="240"/>
      <c r="AF34" s="151"/>
      <c r="AG34" s="151"/>
      <c r="AH34" s="241">
        <f>IF($N13="E",$T13,0)</f>
        <v>0</v>
      </c>
      <c r="AI34" s="241">
        <f>IF(OR($F34="E",$F34="E"),$G34,0)</f>
        <v>0</v>
      </c>
      <c r="AJ34" s="241">
        <f>IF(OR($F34="B",$F34="C"),$G34,0)</f>
        <v>0</v>
      </c>
      <c r="AK34" s="241">
        <f>IF($F34="A",$G34,0)</f>
        <v>0</v>
      </c>
      <c r="AL34" s="241">
        <f>IF($N13="A",$F13,0)</f>
        <v>0</v>
      </c>
      <c r="AM34" s="241">
        <f>IF(AND($F34="A",$F13&gt;0),$G34,0)</f>
        <v>0</v>
      </c>
      <c r="AN34" s="241">
        <f>IF($F13&gt;0,$G34,0)</f>
        <v>0</v>
      </c>
      <c r="AQ34" s="242">
        <f>IF($N13="E",$R13/'DATI (2)'!$E$13,0)</f>
        <v>0</v>
      </c>
      <c r="AR34" s="242">
        <f>IF($N13="E",$S13/'DATI (2)'!$E$14,0)</f>
        <v>0</v>
      </c>
      <c r="AS34" s="243">
        <f>($R13)/'DATI (2)'!$E$13</f>
        <v>0</v>
      </c>
      <c r="AT34" s="243">
        <f>$S13/'DATI (2)'!$E$14</f>
        <v>0</v>
      </c>
      <c r="AV34" s="242">
        <f>IF(AND($F34="E",$F13&gt;0),$R13/'DATI (2)'!$E$13,0)</f>
        <v>0</v>
      </c>
      <c r="AW34" s="244">
        <f>IF(AND($F34="E",$F13&gt;0),$Z34,0)</f>
        <v>0</v>
      </c>
      <c r="AX34" s="242">
        <f>IF(AND($F34="E",$F13=0),$R13/'DATI (2)'!$E$13,0)</f>
        <v>0</v>
      </c>
      <c r="AY34" s="244">
        <f>IF(AND($F34="E",$F13=0,R13&gt;0),$Z34*$BT34,0)</f>
        <v>0</v>
      </c>
      <c r="AZ34" s="242">
        <f>IF(AND($F34="E"),$S13/'DATI (2)'!$E$13,0)</f>
        <v>0</v>
      </c>
      <c r="BA34" s="244">
        <f>IF(AND($F34="E",$S13&gt;0),$Z34*$BU34,0)</f>
        <v>0</v>
      </c>
      <c r="BC34" s="242">
        <f>IF(AND(OR($F34="B",$F34="C"),$F13&gt;0),$R13/'DATI (2)'!$E$13,0)</f>
        <v>0</v>
      </c>
      <c r="BD34" s="244">
        <f>IF(AND(AND(OR($F34="B",$F34="C")),$F13&gt;0),$Z34,0)</f>
        <v>0</v>
      </c>
      <c r="BE34" s="242">
        <f>IF(AND(OR($F34="B",$F34="C"),$F13=0),$R13/'DATI (2)'!$E$13,0)</f>
        <v>0</v>
      </c>
      <c r="BF34" s="244">
        <f>IF(AND((OR($F34="B",$F34="C")),$F13=0,R13&gt;0),$Z34*$BT34,0)</f>
        <v>0</v>
      </c>
      <c r="BG34" s="242">
        <f>IF(AND(OR($F34="B",$F34="C")),$S13/'DATI (2)'!$E$13,0)</f>
        <v>0</v>
      </c>
      <c r="BH34" s="244">
        <f>IF(AND((OR($F34="B",$F34="C")),$S13&gt;0),$Z34*$BU34,0)</f>
        <v>0</v>
      </c>
      <c r="BJ34" s="242">
        <f>IF(AND($F34="A",$F13&gt;0),$R13/'DATI (2)'!$E$13,0)</f>
        <v>0</v>
      </c>
      <c r="BK34" s="244">
        <f>IF(AND($F34="a",$F13&gt;0),$Z34,0)</f>
        <v>0</v>
      </c>
      <c r="BL34" s="242">
        <f>IF(AND($F34="A",$F13=0),$R13/'DATI (2)'!$E$13,0)</f>
        <v>0</v>
      </c>
      <c r="BM34" s="244">
        <f>IF(AND($F34="a",$F13=0,R13&gt;0),$Z34*$BT34,0)</f>
        <v>0</v>
      </c>
      <c r="BN34" s="242">
        <f>IF(AND($F34="A"),$S13/'DATI (2)'!$E$13,0)</f>
        <v>0</v>
      </c>
      <c r="BO34" s="244">
        <f>IF(AND($F34="a",$S13&gt;0),$Z34*$BU34,0)</f>
        <v>0</v>
      </c>
      <c r="BQ34" s="245">
        <f>Q13</f>
        <v>0</v>
      </c>
      <c r="BR34" s="245">
        <f>R13/'DATI (2)'!$E$13</f>
        <v>0</v>
      </c>
      <c r="BS34" s="245">
        <f>S13/'DATI (2)'!$E$14</f>
        <v>0</v>
      </c>
      <c r="BT34" s="245" t="e">
        <f>BR34/BQ34</f>
        <v>#DIV/0!</v>
      </c>
      <c r="BU34" s="245" t="e">
        <f>BS34/BQ34</f>
        <v>#DIV/0!</v>
      </c>
      <c r="BW34" s="68">
        <f>IF(F34="E",$Q$41*G34/$AI$41,0)</f>
        <v>0</v>
      </c>
    </row>
    <row r="35" spans="4:75" ht="19.5" customHeight="1">
      <c r="D35" s="246"/>
      <c r="E35" s="247"/>
      <c r="F35" s="248"/>
      <c r="G35" s="249"/>
      <c r="H35" s="250">
        <f>AC14</f>
        <v>0</v>
      </c>
      <c r="I35" s="250"/>
      <c r="J35" s="250"/>
      <c r="K35" s="251">
        <f>(H35)*0.1</f>
        <v>0</v>
      </c>
      <c r="L35" s="251"/>
      <c r="M35" s="252">
        <f>IF($C$5="s",IF(SUM($H$41)&lt;=1000000,SUM(H35)*0.02,SUM(H35)*0.01),0)</f>
        <v>0</v>
      </c>
      <c r="N35" s="252"/>
      <c r="O35" s="253">
        <f>(M35*(0.04))</f>
        <v>0</v>
      </c>
      <c r="P35" s="254">
        <f>(M35+O35)*0.22</f>
        <v>0</v>
      </c>
      <c r="Q35" s="255">
        <f>IF(F35="E",G35*12,0)</f>
        <v>0</v>
      </c>
      <c r="R35" s="256">
        <f>BW35*0.22</f>
        <v>0</v>
      </c>
      <c r="S35" s="257">
        <f>IF(F35="E",H35*1.5%,0)</f>
        <v>0</v>
      </c>
      <c r="T35" s="258">
        <f>S35*0.02</f>
        <v>0</v>
      </c>
      <c r="U35" s="259">
        <f>(S35+T35)*0.22</f>
        <v>0</v>
      </c>
      <c r="V35" s="255">
        <f>H35*0.15</f>
        <v>0</v>
      </c>
      <c r="W35" s="253">
        <f>V35*0.04</f>
        <v>0</v>
      </c>
      <c r="X35" s="260">
        <f>0.22*(W35+V35)</f>
        <v>0</v>
      </c>
      <c r="Y35" s="261">
        <f>SUM(K35:X35)-Q35+BW35</f>
        <v>0</v>
      </c>
      <c r="Z35" s="262">
        <f>Y35+H35</f>
        <v>0</v>
      </c>
      <c r="AA35" s="262"/>
      <c r="AB35" s="240"/>
      <c r="AC35" s="240"/>
      <c r="AF35" s="151"/>
      <c r="AG35" s="151"/>
      <c r="AH35" s="241">
        <f>IF($N14="E",$T14,0)</f>
        <v>0</v>
      </c>
      <c r="AI35" s="241">
        <f>IF(OR($F35="E",$F35="E"),$G35,0)</f>
        <v>0</v>
      </c>
      <c r="AJ35" s="241">
        <f>IF(OR($F35="B",$F35="C"),$G35,0)</f>
        <v>0</v>
      </c>
      <c r="AK35" s="241">
        <f>IF($F35="A",$G35,0)</f>
        <v>0</v>
      </c>
      <c r="AL35" s="241">
        <f>IF($N14="A",$F14,0)</f>
        <v>0</v>
      </c>
      <c r="AM35" s="241">
        <f>IF(AND($F35="A",$F14&gt;0),$G35,0)</f>
        <v>0</v>
      </c>
      <c r="AN35" s="241">
        <f>IF($F14&gt;0,$G35,0)</f>
        <v>0</v>
      </c>
      <c r="AQ35" s="242">
        <f>IF($N14="E",$R14/'DATI (2)'!$E$13,0)</f>
        <v>0</v>
      </c>
      <c r="AR35" s="242">
        <f>IF($N14="E",$S14/'DATI (2)'!$E$14,0)</f>
        <v>0</v>
      </c>
      <c r="AS35" s="243">
        <f>($R14)/'DATI (2)'!$E$13</f>
        <v>0</v>
      </c>
      <c r="AT35" s="243">
        <f>$S14/'DATI (2)'!$E$14</f>
        <v>0</v>
      </c>
      <c r="AV35" s="242">
        <f>IF(AND($F35="E",$F14&gt;0),$R14/'DATI (2)'!$E$13,0)</f>
        <v>0</v>
      </c>
      <c r="AW35" s="244">
        <f>IF(AND($F35="E",$F14&gt;0),$Z35,0)</f>
        <v>0</v>
      </c>
      <c r="AX35" s="242">
        <f>IF(AND($F35="E",$F14=0),$R14/'DATI (2)'!$E$13,0)</f>
        <v>0</v>
      </c>
      <c r="AY35" s="244">
        <f>IF(AND($F35="E",$F14=0,R14&gt;0),$Z35*$BT35,0)</f>
        <v>0</v>
      </c>
      <c r="AZ35" s="242">
        <f>IF(AND($F35="E"),$S14/'DATI (2)'!$E$13,0)</f>
        <v>0</v>
      </c>
      <c r="BA35" s="244">
        <f>IF(AND($F35="E",$S14&gt;0),$Z35*$BU35,0)</f>
        <v>0</v>
      </c>
      <c r="BC35" s="242">
        <f>IF(AND(OR($F35="B",$F35="C"),$F14&gt;0),$R14/'DATI (2)'!$E$13,0)</f>
        <v>0</v>
      </c>
      <c r="BD35" s="244">
        <f>IF(AND(AND(OR($F35="B",$F35="C")),$F14&gt;0),$Z35,0)</f>
        <v>0</v>
      </c>
      <c r="BE35" s="242">
        <f>IF(AND(OR($F35="B",$F35="C"),$F14=0),$R14/'DATI (2)'!$E$13,0)</f>
        <v>0</v>
      </c>
      <c r="BF35" s="244">
        <f>IF(AND((OR($F35="B",$F35="C")),$F14=0,R14&gt;0),$Z35*$BT35,0)</f>
        <v>0</v>
      </c>
      <c r="BG35" s="242">
        <f>IF(AND(OR($F35="B",$F35="C")),$S14/'DATI (2)'!$E$13,0)</f>
        <v>0</v>
      </c>
      <c r="BH35" s="244">
        <f>IF(AND((OR($F35="B",$F35="C")),$S14&gt;0),$Z35*$BU35,0)</f>
        <v>0</v>
      </c>
      <c r="BJ35" s="242">
        <f>IF(AND($F35="A",$F14&gt;0),$R14/'DATI (2)'!$E$13,0)</f>
        <v>0</v>
      </c>
      <c r="BK35" s="244">
        <f>IF(AND($F35="a",$F14&gt;0),$Z35,0)</f>
        <v>0</v>
      </c>
      <c r="BL35" s="242">
        <f>IF(AND($F35="A",$F14=0),$R14/'DATI (2)'!$E$13,0)</f>
        <v>0</v>
      </c>
      <c r="BM35" s="244">
        <f>IF(AND($F35="a",$F14=0,R14&gt;0),$Z35*$BT35,0)</f>
        <v>0</v>
      </c>
      <c r="BN35" s="242">
        <f>IF(AND($F35="A"),$S14/'DATI (2)'!$E$13,0)</f>
        <v>0</v>
      </c>
      <c r="BO35" s="244">
        <f>IF(AND($F35="a",$S14&gt;0),$Z35*$BU35,0)</f>
        <v>0</v>
      </c>
      <c r="BQ35" s="245">
        <f>Q14</f>
        <v>0</v>
      </c>
      <c r="BR35" s="245">
        <f>R14/'DATI (2)'!$E$13</f>
        <v>0</v>
      </c>
      <c r="BS35" s="245">
        <f>S14/'DATI (2)'!$E$14</f>
        <v>0</v>
      </c>
      <c r="BT35" s="245" t="e">
        <f>BR35/BQ35</f>
        <v>#DIV/0!</v>
      </c>
      <c r="BU35" s="245" t="e">
        <f>BS35/BQ35</f>
        <v>#DIV/0!</v>
      </c>
      <c r="BW35" s="68">
        <f>IF(F35="E",$Q$41*G35/$AI$41,0)</f>
        <v>0</v>
      </c>
    </row>
    <row r="36" spans="4:75" ht="19.5" customHeight="1">
      <c r="D36" s="246"/>
      <c r="E36" s="247"/>
      <c r="F36" s="248"/>
      <c r="G36" s="249"/>
      <c r="H36" s="250">
        <f>AC15</f>
        <v>0</v>
      </c>
      <c r="I36" s="250"/>
      <c r="J36" s="250"/>
      <c r="K36" s="251">
        <f>(H36)*0.1</f>
        <v>0</v>
      </c>
      <c r="L36" s="251"/>
      <c r="M36" s="252">
        <f>IF($C$5="s",IF(SUM($H$41)&lt;=1000000,SUM(H36)*0.02,SUM(H36)*0.01),0)</f>
        <v>0</v>
      </c>
      <c r="N36" s="252"/>
      <c r="O36" s="253">
        <f>(M36*(0.04))</f>
        <v>0</v>
      </c>
      <c r="P36" s="254">
        <f>(M36+O36)*0.22</f>
        <v>0</v>
      </c>
      <c r="Q36" s="255">
        <f>IF(F36="E",G36*12,0)</f>
        <v>0</v>
      </c>
      <c r="R36" s="256">
        <f>BW36*0.22</f>
        <v>0</v>
      </c>
      <c r="S36" s="257">
        <f>IF(F36="E",H36*1.5%,0)</f>
        <v>0</v>
      </c>
      <c r="T36" s="258">
        <f>S36*0.02</f>
        <v>0</v>
      </c>
      <c r="U36" s="259">
        <f>(S36+T36)*0.22</f>
        <v>0</v>
      </c>
      <c r="V36" s="255">
        <f>H36*0.15</f>
        <v>0</v>
      </c>
      <c r="W36" s="253">
        <f>V36*0.04</f>
        <v>0</v>
      </c>
      <c r="X36" s="260">
        <f>0.22*(W36+V36)</f>
        <v>0</v>
      </c>
      <c r="Y36" s="261">
        <f>SUM(K36:X36)-Q36+BW36</f>
        <v>0</v>
      </c>
      <c r="Z36" s="262">
        <f>Y36+H36</f>
        <v>0</v>
      </c>
      <c r="AA36" s="262"/>
      <c r="AB36" s="240"/>
      <c r="AC36" s="240"/>
      <c r="AF36" s="151"/>
      <c r="AG36" s="151"/>
      <c r="AH36" s="241">
        <f>IF($N15="E",$T15,0)</f>
        <v>0</v>
      </c>
      <c r="AI36" s="241">
        <f>IF(OR($F36="E",$F36="E"),$G36,0)</f>
        <v>0</v>
      </c>
      <c r="AJ36" s="241">
        <f>IF(OR($F36="B",$F36="C"),$G36,0)</f>
        <v>0</v>
      </c>
      <c r="AK36" s="241">
        <f>IF($F36="A",$G36,0)</f>
        <v>0</v>
      </c>
      <c r="AL36" s="241">
        <f>IF($N15="A",$F15,0)</f>
        <v>0</v>
      </c>
      <c r="AM36" s="241">
        <f>IF(AND($F36="A",$F15&gt;0),$G36,0)</f>
        <v>0</v>
      </c>
      <c r="AN36" s="241">
        <f>IF($F15&gt;0,$G36,0)</f>
        <v>0</v>
      </c>
      <c r="AQ36" s="242">
        <f>IF($N15="E",$R15/'DATI (2)'!$E$13,0)</f>
        <v>0</v>
      </c>
      <c r="AR36" s="242">
        <f>IF($N15="E",$S15/'DATI (2)'!$E$14,0)</f>
        <v>0</v>
      </c>
      <c r="AS36" s="243">
        <f>($R15)/'DATI (2)'!$E$13</f>
        <v>0</v>
      </c>
      <c r="AT36" s="243">
        <f>$S15/'DATI (2)'!$E$14</f>
        <v>0</v>
      </c>
      <c r="AV36" s="242">
        <f>IF(AND($F36="E",$F15&gt;0),$R15/'DATI (2)'!$E$13,0)</f>
        <v>0</v>
      </c>
      <c r="AW36" s="244">
        <f>IF(AND($F36="E",$F15&gt;0),$Z36,0)</f>
        <v>0</v>
      </c>
      <c r="AX36" s="242">
        <f>IF(AND($F36="E",$F15=0),$R15/'DATI (2)'!$E$13,0)</f>
        <v>0</v>
      </c>
      <c r="AY36" s="244">
        <f>IF(AND($F36="E",$F15=0,R15&gt;0),$Z36*$BT36,0)</f>
        <v>0</v>
      </c>
      <c r="AZ36" s="242">
        <f>IF(AND($F36="E"),$S15/'DATI (2)'!$E$13,0)</f>
        <v>0</v>
      </c>
      <c r="BA36" s="244">
        <f>IF(AND($F36="E",$S15&gt;0),$Z36*$BU36,0)</f>
        <v>0</v>
      </c>
      <c r="BC36" s="242">
        <f>IF(AND(OR($F36="B",$F36="C"),$F15&gt;0),$R15/'DATI (2)'!$E$13,0)</f>
        <v>0</v>
      </c>
      <c r="BD36" s="244">
        <f>IF(AND(AND(OR($F36="B",$F36="C")),$F15&gt;0),$Z36,0)</f>
        <v>0</v>
      </c>
      <c r="BE36" s="242">
        <f>IF(AND(OR($F36="B",$F36="C"),$F15=0),$R15/'DATI (2)'!$E$13,0)</f>
        <v>0</v>
      </c>
      <c r="BF36" s="244">
        <f>IF(AND((OR($F36="B",$F36="C")),$F15=0,R15&gt;0),$Z36*$BT36,0)</f>
        <v>0</v>
      </c>
      <c r="BG36" s="242">
        <f>IF(AND(OR($F36="B",$F36="C")),$S15/'DATI (2)'!$E$13,0)</f>
        <v>0</v>
      </c>
      <c r="BH36" s="244">
        <f>IF(AND((OR($F36="B",$F36="C")),$S15&gt;0),$Z36*$BU36,0)</f>
        <v>0</v>
      </c>
      <c r="BJ36" s="242">
        <f>IF(AND($F36="A",$F15&gt;0),$R15/'DATI (2)'!$E$13,0)</f>
        <v>0</v>
      </c>
      <c r="BK36" s="244">
        <f>IF(AND($F36="a",$F15&gt;0),$Z36,0)</f>
        <v>0</v>
      </c>
      <c r="BL36" s="242">
        <f>IF(AND($F36="A",$F15=0),$R15/'DATI (2)'!$E$13,0)</f>
        <v>0</v>
      </c>
      <c r="BM36" s="244">
        <f>IF(AND($F36="a",$F15=0,R15&gt;0),$Z36*$BT36,0)</f>
        <v>0</v>
      </c>
      <c r="BN36" s="242">
        <f>IF(AND($F36="A"),$S15/'DATI (2)'!$E$13,0)</f>
        <v>0</v>
      </c>
      <c r="BO36" s="244">
        <f>IF(AND($F36="a",$S15&gt;0),$Z36*$BU36,0)</f>
        <v>0</v>
      </c>
      <c r="BQ36" s="245">
        <f>Q15</f>
        <v>0</v>
      </c>
      <c r="BR36" s="245">
        <f>R15/'DATI (2)'!$E$13</f>
        <v>0</v>
      </c>
      <c r="BS36" s="245">
        <f>S15/'DATI (2)'!$E$14</f>
        <v>0</v>
      </c>
      <c r="BT36" s="245" t="e">
        <f>BR36/BQ36</f>
        <v>#DIV/0!</v>
      </c>
      <c r="BU36" s="245" t="e">
        <f>BS36/BQ36</f>
        <v>#DIV/0!</v>
      </c>
      <c r="BW36" s="68">
        <f>IF(F36="E",$Q$41*G36/$AI$41,0)</f>
        <v>0</v>
      </c>
    </row>
    <row r="37" spans="4:75" ht="19.5" customHeight="1">
      <c r="D37" s="246"/>
      <c r="E37" s="247"/>
      <c r="F37" s="248"/>
      <c r="G37" s="249"/>
      <c r="H37" s="250">
        <f>AC16</f>
        <v>0</v>
      </c>
      <c r="I37" s="250"/>
      <c r="J37" s="250"/>
      <c r="K37" s="251">
        <f>(H37)*0.1</f>
        <v>0</v>
      </c>
      <c r="L37" s="251"/>
      <c r="M37" s="252">
        <f>IF($C$5="s",IF(SUM($H$41)&lt;=1000000,SUM(H37)*0.02,SUM(H37)*0.01),0)</f>
        <v>0</v>
      </c>
      <c r="N37" s="252"/>
      <c r="O37" s="253">
        <f>(M37*(0.04))</f>
        <v>0</v>
      </c>
      <c r="P37" s="254">
        <f>(M37+O37)*0.22</f>
        <v>0</v>
      </c>
      <c r="Q37" s="255">
        <f>IF(F37="E",G37*12,0)</f>
        <v>0</v>
      </c>
      <c r="R37" s="256">
        <f>BW37*0.22</f>
        <v>0</v>
      </c>
      <c r="S37" s="257">
        <f>IF(F37="E",H37*1.5%,0)</f>
        <v>0</v>
      </c>
      <c r="T37" s="258">
        <f>S37*0.02</f>
        <v>0</v>
      </c>
      <c r="U37" s="259">
        <f>(S37+T37)*0.22</f>
        <v>0</v>
      </c>
      <c r="V37" s="255">
        <f>H37*0.15</f>
        <v>0</v>
      </c>
      <c r="W37" s="253">
        <f>V37*0.04</f>
        <v>0</v>
      </c>
      <c r="X37" s="260">
        <f>0.22*(W37+V37)</f>
        <v>0</v>
      </c>
      <c r="Y37" s="261">
        <f>SUM(K37:X37)-Q37+BW37</f>
        <v>0</v>
      </c>
      <c r="Z37" s="262">
        <f>Y37+H37</f>
        <v>0</v>
      </c>
      <c r="AA37" s="262"/>
      <c r="AB37" s="240"/>
      <c r="AC37" s="240"/>
      <c r="AF37" s="151"/>
      <c r="AG37" s="151"/>
      <c r="AH37" s="241">
        <f>IF($N16="E",$T16,0)</f>
        <v>0</v>
      </c>
      <c r="AI37" s="241">
        <f>IF(OR($F37="E",$F37="E"),$G37,0)</f>
        <v>0</v>
      </c>
      <c r="AJ37" s="241">
        <f>IF(OR($F37="B",$F37="C"),$G37,0)</f>
        <v>0</v>
      </c>
      <c r="AK37" s="241">
        <f>IF($F37="A",$G37,0)</f>
        <v>0</v>
      </c>
      <c r="AL37" s="241">
        <f>IF($N16="A",$F16,0)</f>
        <v>0</v>
      </c>
      <c r="AM37" s="241">
        <f>IF(AND($F37="A",$F16&gt;0),$G37,0)</f>
        <v>0</v>
      </c>
      <c r="AN37" s="241">
        <f>IF($F16&gt;0,$G37,0)</f>
        <v>0</v>
      </c>
      <c r="AQ37" s="242">
        <f>IF($N16="E",$R16/'DATI (2)'!$E$13,0)</f>
        <v>0</v>
      </c>
      <c r="AR37" s="242">
        <f>IF($N16="E",$S16/'DATI (2)'!$E$14,0)</f>
        <v>0</v>
      </c>
      <c r="AS37" s="243">
        <f>($R16)/'DATI (2)'!$E$13</f>
        <v>0</v>
      </c>
      <c r="AT37" s="243">
        <f>$S16/'DATI (2)'!$E$14</f>
        <v>0</v>
      </c>
      <c r="AV37" s="242">
        <f>IF(AND($F37="E",$F16&gt;0),$R16/'DATI (2)'!$E$13,0)</f>
        <v>0</v>
      </c>
      <c r="AW37" s="244">
        <f>IF(AND($F37="E",$F16&gt;0),$Z37,0)</f>
        <v>0</v>
      </c>
      <c r="AX37" s="242">
        <f>IF(AND($F37="E",$F16=0),$R16/'DATI (2)'!$E$13,0)</f>
        <v>0</v>
      </c>
      <c r="AY37" s="244">
        <f>IF(AND($F37="E",$F16=0,R16&gt;0),$Z37*$BT37,0)</f>
        <v>0</v>
      </c>
      <c r="AZ37" s="242">
        <f>IF(AND($F37="E"),$S16/'DATI (2)'!$E$13,0)</f>
        <v>0</v>
      </c>
      <c r="BA37" s="244">
        <f>IF(AND($F37="E",$S16&gt;0),$Z37*$BU37,0)</f>
        <v>0</v>
      </c>
      <c r="BC37" s="242">
        <f>IF(AND(OR($F37="B",$F37="C"),$F16&gt;0),$R16/'DATI (2)'!$E$13,0)</f>
        <v>0</v>
      </c>
      <c r="BD37" s="244">
        <f>IF(AND(AND(OR($F37="B",$F37="C")),$F16&gt;0),$Z37,0)</f>
        <v>0</v>
      </c>
      <c r="BE37" s="242">
        <f>IF(AND(OR($F37="B",$F37="C"),$F16=0),$R16/'DATI (2)'!$E$13,0)</f>
        <v>0</v>
      </c>
      <c r="BF37" s="244">
        <f>IF(AND((OR($F37="B",$F37="C")),$F16=0,R16&gt;0),$Z37*$BT37,0)</f>
        <v>0</v>
      </c>
      <c r="BG37" s="242">
        <f>IF(AND(OR($F37="B",$F37="C")),$S16/'DATI (2)'!$E$13,0)</f>
        <v>0</v>
      </c>
      <c r="BH37" s="244">
        <f>IF(AND((OR($F37="B",$F37="C")),$S16&gt;0),$Z37*$BU37,0)</f>
        <v>0</v>
      </c>
      <c r="BJ37" s="242">
        <f>IF(AND($F37="A",$F16&gt;0),$R16/'DATI (2)'!$E$13,0)</f>
        <v>0</v>
      </c>
      <c r="BK37" s="244">
        <f>IF(AND($F37="a",$F16&gt;0),$Z37,0)</f>
        <v>0</v>
      </c>
      <c r="BL37" s="242">
        <f>IF(AND($F37="A",$F16=0),$R16/'DATI (2)'!$E$13,0)</f>
        <v>0</v>
      </c>
      <c r="BM37" s="244">
        <f>IF(AND($F37="a",$F16=0,R16&gt;0),$Z37*$BT37,0)</f>
        <v>0</v>
      </c>
      <c r="BN37" s="242">
        <f>IF(AND($F37="A"),$S16/'DATI (2)'!$E$13,0)</f>
        <v>0</v>
      </c>
      <c r="BO37" s="244">
        <f>IF(AND($F37="a",$S16&gt;0),$Z37*$BU37,0)</f>
        <v>0</v>
      </c>
      <c r="BQ37" s="245">
        <f>Q16</f>
        <v>0</v>
      </c>
      <c r="BR37" s="245">
        <f>R16/'DATI (2)'!$E$13</f>
        <v>0</v>
      </c>
      <c r="BS37" s="245">
        <f>S16/'DATI (2)'!$E$14</f>
        <v>0</v>
      </c>
      <c r="BT37" s="245" t="e">
        <f>BR37/BQ37</f>
        <v>#DIV/0!</v>
      </c>
      <c r="BU37" s="245" t="e">
        <f>BS37/BQ37</f>
        <v>#DIV/0!</v>
      </c>
      <c r="BW37" s="68">
        <f>IF(F37="E",$Q$41*G37/$AI$41,0)</f>
        <v>0</v>
      </c>
    </row>
    <row r="38" spans="4:75" ht="19.5" customHeight="1">
      <c r="D38" s="246"/>
      <c r="E38" s="247"/>
      <c r="F38" s="248"/>
      <c r="G38" s="249"/>
      <c r="H38" s="250">
        <f>AC17</f>
        <v>0</v>
      </c>
      <c r="I38" s="250"/>
      <c r="J38" s="250"/>
      <c r="K38" s="251">
        <f>(H38)*0.1</f>
        <v>0</v>
      </c>
      <c r="L38" s="251"/>
      <c r="M38" s="252">
        <f>IF($C$5="s",IF(SUM($H$41)&lt;=1000000,SUM(H38)*0.02,SUM(H38)*0.01),0)</f>
        <v>0</v>
      </c>
      <c r="N38" s="252"/>
      <c r="O38" s="253">
        <f>(M38*(0.04))</f>
        <v>0</v>
      </c>
      <c r="P38" s="254">
        <f>(M38+O38)*0.22</f>
        <v>0</v>
      </c>
      <c r="Q38" s="255">
        <f>IF(F38="E",G38*12,0)</f>
        <v>0</v>
      </c>
      <c r="R38" s="256">
        <f>BW38*0.22</f>
        <v>0</v>
      </c>
      <c r="S38" s="257">
        <f>IF(F38="E",H38*1.5%,0)</f>
        <v>0</v>
      </c>
      <c r="T38" s="258">
        <f>S38*0.02</f>
        <v>0</v>
      </c>
      <c r="U38" s="259">
        <f>(S38+T38)*0.22</f>
        <v>0</v>
      </c>
      <c r="V38" s="255">
        <f>H38*0.15</f>
        <v>0</v>
      </c>
      <c r="W38" s="253">
        <f>V38*0.04</f>
        <v>0</v>
      </c>
      <c r="X38" s="260">
        <f>0.22*(W38+V38)</f>
        <v>0</v>
      </c>
      <c r="Y38" s="261">
        <f>SUM(K38:X38)-Q38+BW38</f>
        <v>0</v>
      </c>
      <c r="Z38" s="262">
        <f>Y38+H38</f>
        <v>0</v>
      </c>
      <c r="AA38" s="262"/>
      <c r="AB38" s="240"/>
      <c r="AC38" s="240"/>
      <c r="AF38" s="151"/>
      <c r="AG38" s="151"/>
      <c r="AH38" s="241">
        <f>IF($N17="E",$T17,0)</f>
        <v>0</v>
      </c>
      <c r="AI38" s="241">
        <f>IF(OR($F38="E",$F38="E"),$G38,0)</f>
        <v>0</v>
      </c>
      <c r="AJ38" s="241">
        <f>IF(OR($F38="B",$F38="C"),$G38,0)</f>
        <v>0</v>
      </c>
      <c r="AK38" s="241">
        <f>IF($F38="A",$G38,0)</f>
        <v>0</v>
      </c>
      <c r="AL38" s="241">
        <f>IF($N17="A",$F17,0)</f>
        <v>0</v>
      </c>
      <c r="AM38" s="241">
        <f>IF(AND($F38="A",$F17&gt;0),$G38,0)</f>
        <v>0</v>
      </c>
      <c r="AN38" s="241">
        <f>IF($F17&gt;0,$G38,0)</f>
        <v>0</v>
      </c>
      <c r="AQ38" s="242">
        <f>IF($N17="E",$R17/'DATI (2)'!$E$13,0)</f>
        <v>0</v>
      </c>
      <c r="AR38" s="242">
        <f>IF($N17="E",$S17/'DATI (2)'!$E$14,0)</f>
        <v>0</v>
      </c>
      <c r="AS38" s="243">
        <f>($R17)/'DATI (2)'!$E$13</f>
        <v>0</v>
      </c>
      <c r="AT38" s="243">
        <f>$S17/'DATI (2)'!$E$14</f>
        <v>0</v>
      </c>
      <c r="AV38" s="242">
        <f>IF(AND($F38="E",$F17&gt;0),$R17/'DATI (2)'!$E$13,0)</f>
        <v>0</v>
      </c>
      <c r="AW38" s="244">
        <f>IF(AND($F38="E",$F17&gt;0),$Z38,0)</f>
        <v>0</v>
      </c>
      <c r="AX38" s="242">
        <f>IF(AND($F38="E",$F17=0),$R17/'DATI (2)'!$E$13,0)</f>
        <v>0</v>
      </c>
      <c r="AY38" s="244">
        <f>IF(AND($F38="E",$F17=0,R17&gt;0),$Z38*$BT38,0)</f>
        <v>0</v>
      </c>
      <c r="AZ38" s="242">
        <f>IF(AND($F38="E"),$S17/'DATI (2)'!$E$13,0)</f>
        <v>0</v>
      </c>
      <c r="BA38" s="244">
        <f>IF(AND($F38="E",$S17&gt;0),$Z38*$BU38,0)</f>
        <v>0</v>
      </c>
      <c r="BC38" s="242">
        <f>IF(AND(OR($F38="B",$F38="C"),$F17&gt;0),$R17/'DATI (2)'!$E$13,0)</f>
        <v>0</v>
      </c>
      <c r="BD38" s="244">
        <f>IF(AND(AND(OR($F38="B",$F38="C")),$F17&gt;0),$Z38,0)</f>
        <v>0</v>
      </c>
      <c r="BE38" s="242">
        <f>IF(AND(OR($F38="B",$F38="C"),$F17=0),$R17/'DATI (2)'!$E$13,0)</f>
        <v>0</v>
      </c>
      <c r="BF38" s="244">
        <f>IF(AND((OR($F38="B",$F38="C")),$F17=0,R17&gt;0),$Z38*$BT38,0)</f>
        <v>0</v>
      </c>
      <c r="BG38" s="242">
        <f>IF(AND(OR($F38="B",$F38="C")),$S17/'DATI (2)'!$E$13,0)</f>
        <v>0</v>
      </c>
      <c r="BH38" s="244">
        <f>IF(AND((OR($F38="B",$F38="C")),$S17&gt;0),$Z38*$BU38,0)</f>
        <v>0</v>
      </c>
      <c r="BJ38" s="242">
        <f>IF(AND($F38="A",$F17&gt;0),$R17/'DATI (2)'!$E$13,0)</f>
        <v>0</v>
      </c>
      <c r="BK38" s="244">
        <f>IF(AND($F38="a",$F17&gt;0),$Z38,0)</f>
        <v>0</v>
      </c>
      <c r="BL38" s="242">
        <f>IF(AND($F38="A",$F17=0),$R17/'DATI (2)'!$E$13,0)</f>
        <v>0</v>
      </c>
      <c r="BM38" s="244">
        <f>IF(AND($F38="a",$F17=0,R17&gt;0),$Z38*$BT38,0)</f>
        <v>0</v>
      </c>
      <c r="BN38" s="242">
        <f>IF(AND($F38="A"),$S17/'DATI (2)'!$E$13,0)</f>
        <v>0</v>
      </c>
      <c r="BO38" s="244">
        <f>IF(AND($F38="a",$S17&gt;0),$Z38*$BU38,0)</f>
        <v>0</v>
      </c>
      <c r="BQ38" s="245">
        <f>Q17</f>
        <v>0</v>
      </c>
      <c r="BR38" s="245">
        <f>R17/'DATI (2)'!$E$13</f>
        <v>0</v>
      </c>
      <c r="BS38" s="245">
        <f>S17/'DATI (2)'!$E$14</f>
        <v>0</v>
      </c>
      <c r="BT38" s="245" t="e">
        <f>BR38/BQ38</f>
        <v>#DIV/0!</v>
      </c>
      <c r="BU38" s="245" t="e">
        <f>BS38/BQ38</f>
        <v>#DIV/0!</v>
      </c>
      <c r="BW38" s="68">
        <f>IF(F38="E",$Q$41*G38/$AI$41,0)</f>
        <v>0</v>
      </c>
    </row>
    <row r="39" spans="4:75" ht="19.5" customHeight="1">
      <c r="D39" s="246"/>
      <c r="E39" s="247"/>
      <c r="F39" s="248"/>
      <c r="G39" s="249"/>
      <c r="H39" s="250">
        <f>AC18</f>
        <v>0</v>
      </c>
      <c r="I39" s="250"/>
      <c r="J39" s="250"/>
      <c r="K39" s="251">
        <f>(H39)*0.1</f>
        <v>0</v>
      </c>
      <c r="L39" s="251"/>
      <c r="M39" s="252">
        <f>IF($C$5="s",IF(SUM($H$41)&lt;=1000000,SUM(H39)*0.02,SUM(H39)*0.01),0)</f>
        <v>0</v>
      </c>
      <c r="N39" s="252"/>
      <c r="O39" s="253">
        <f>(M39*(0.04))</f>
        <v>0</v>
      </c>
      <c r="P39" s="254">
        <f>(M39+O39)*0.22</f>
        <v>0</v>
      </c>
      <c r="Q39" s="255">
        <f>IF(F39="E",G39*12,0)</f>
        <v>0</v>
      </c>
      <c r="R39" s="256">
        <f>BW39*0.22</f>
        <v>0</v>
      </c>
      <c r="S39" s="257">
        <f>IF(F39="E",H39*1.5%,0)</f>
        <v>0</v>
      </c>
      <c r="T39" s="258">
        <f>S39*0.02</f>
        <v>0</v>
      </c>
      <c r="U39" s="259">
        <f>(S39+T39)*0.22</f>
        <v>0</v>
      </c>
      <c r="V39" s="255">
        <f>H39*0.15</f>
        <v>0</v>
      </c>
      <c r="W39" s="253">
        <f>V39*0.04</f>
        <v>0</v>
      </c>
      <c r="X39" s="260">
        <f>0.22*(W39+V39)</f>
        <v>0</v>
      </c>
      <c r="Y39" s="261">
        <f>SUM(K39:X39)-Q39+BW39</f>
        <v>0</v>
      </c>
      <c r="Z39" s="262">
        <f>Y39+H39</f>
        <v>0</v>
      </c>
      <c r="AA39" s="262"/>
      <c r="AB39" s="240"/>
      <c r="AC39" s="240"/>
      <c r="AF39" s="151"/>
      <c r="AG39" s="151"/>
      <c r="AH39" s="241">
        <f>IF($N18="E",$T18,0)</f>
        <v>0</v>
      </c>
      <c r="AI39" s="241">
        <f>IF(OR($F39="E",$F39="E"),$G39,0)</f>
        <v>0</v>
      </c>
      <c r="AJ39" s="241">
        <f>IF(OR($F39="B",$F39="C"),$G39,0)</f>
        <v>0</v>
      </c>
      <c r="AK39" s="241">
        <f>IF($F39="A",$G39,0)</f>
        <v>0</v>
      </c>
      <c r="AL39" s="241">
        <f>IF($N18="A",$F18,0)</f>
        <v>0</v>
      </c>
      <c r="AM39" s="241">
        <f>IF(AND($F39="A",$F18&gt;0),$G39,0)</f>
        <v>0</v>
      </c>
      <c r="AN39" s="241">
        <f>IF($F18&gt;0,$G39,0)</f>
        <v>0</v>
      </c>
      <c r="AQ39" s="242">
        <f>IF($N18="E",$R18/'DATI (2)'!$E$13,0)</f>
        <v>0</v>
      </c>
      <c r="AR39" s="242">
        <f>IF($N18="E",$S18/'DATI (2)'!$E$14,0)</f>
        <v>0</v>
      </c>
      <c r="AS39" s="243">
        <f>($R18)/'DATI (2)'!$E$13</f>
        <v>0</v>
      </c>
      <c r="AT39" s="243">
        <f>$S18/'DATI (2)'!$E$14</f>
        <v>0</v>
      </c>
      <c r="AV39" s="242">
        <f>IF(AND($F39="E",$F18&gt;0),$R18/'DATI (2)'!$E$13,0)</f>
        <v>0</v>
      </c>
      <c r="AW39" s="244">
        <f>IF(AND($F39="E",$F18&gt;0),$Z39,0)</f>
        <v>0</v>
      </c>
      <c r="AX39" s="242">
        <f>IF(AND($F39="E",$F18=0),$R18/'DATI (2)'!$E$13,0)</f>
        <v>0</v>
      </c>
      <c r="AY39" s="244">
        <f>IF(AND($F39="E",$F18=0,R18&gt;0),$Z39*$BT39,0)</f>
        <v>0</v>
      </c>
      <c r="AZ39" s="242">
        <f>IF(AND($F39="E"),$S18/'DATI (2)'!$E$13,0)</f>
        <v>0</v>
      </c>
      <c r="BA39" s="244">
        <f>IF(AND($F39="E",$S18&gt;0),$Z39*$BU39,0)</f>
        <v>0</v>
      </c>
      <c r="BC39" s="242">
        <f>IF(AND(OR($F39="B",$F39="C"),$F18&gt;0),$R18/'DATI (2)'!$E$13,0)</f>
        <v>0</v>
      </c>
      <c r="BD39" s="244">
        <f>IF(AND(AND(OR($F39="B",$F39="C")),$F18&gt;0),$Z39,0)</f>
        <v>0</v>
      </c>
      <c r="BE39" s="242">
        <f>IF(AND(OR($F39="B",$F39="C"),$F18=0),$R18/'DATI (2)'!$E$13,0)</f>
        <v>0</v>
      </c>
      <c r="BF39" s="244">
        <f>IF(AND((OR($F39="B",$F39="C")),$F18=0,R18&gt;0),$Z39*$BT39,0)</f>
        <v>0</v>
      </c>
      <c r="BG39" s="242">
        <f>IF(AND(OR($F39="B",$F39="C")),$S18/'DATI (2)'!$E$13,0)</f>
        <v>0</v>
      </c>
      <c r="BH39" s="244">
        <f>IF(AND((OR($F39="B",$F39="C")),$S18&gt;0),$Z39*$BU39,0)</f>
        <v>0</v>
      </c>
      <c r="BJ39" s="242">
        <f>IF(AND($F39="A",$F18&gt;0),$R18/'DATI (2)'!$E$13,0)</f>
        <v>0</v>
      </c>
      <c r="BK39" s="244">
        <f>IF(AND($F39="a",$F18&gt;0),$Z39,0)</f>
        <v>0</v>
      </c>
      <c r="BL39" s="242">
        <f>IF(AND($F39="A",$F18=0),$R18/'DATI (2)'!$E$13,0)</f>
        <v>0</v>
      </c>
      <c r="BM39" s="244">
        <f>IF(AND($F39="a",$F18=0,R18&gt;0),$Z39*$BT39,0)</f>
        <v>0</v>
      </c>
      <c r="BN39" s="242">
        <f>IF(AND($F39="A"),$S18/'DATI (2)'!$E$13,0)</f>
        <v>0</v>
      </c>
      <c r="BO39" s="244">
        <f>IF(AND($F39="a",$S18&gt;0),$Z39*$BU39,0)</f>
        <v>0</v>
      </c>
      <c r="BQ39" s="245">
        <f>Q18</f>
        <v>0</v>
      </c>
      <c r="BR39" s="245">
        <f>R18/'DATI (2)'!$E$13</f>
        <v>0</v>
      </c>
      <c r="BS39" s="245">
        <f>S18/'DATI (2)'!$E$14</f>
        <v>0</v>
      </c>
      <c r="BT39" s="245" t="e">
        <f>BR39/BQ39</f>
        <v>#DIV/0!</v>
      </c>
      <c r="BU39" s="245" t="e">
        <f>BS39/BQ39</f>
        <v>#DIV/0!</v>
      </c>
      <c r="BW39" s="68">
        <f>IF(F39="E",$Q$41*G39/$AI$41,0)</f>
        <v>0</v>
      </c>
    </row>
    <row r="40" spans="4:75" ht="19.5" customHeight="1">
      <c r="D40" s="265"/>
      <c r="E40" s="266"/>
      <c r="F40" s="267"/>
      <c r="G40" s="268"/>
      <c r="H40" s="269">
        <f>AC19</f>
        <v>0</v>
      </c>
      <c r="I40" s="269"/>
      <c r="J40" s="269"/>
      <c r="K40" s="270">
        <f>(H40)*0.1</f>
        <v>0</v>
      </c>
      <c r="L40" s="270"/>
      <c r="M40" s="271">
        <f>IF($C$5="s",IF(SUM($H$41)&lt;=1000000,SUM(H40)*0.02,SUM(H40)*0.01),0)</f>
        <v>0</v>
      </c>
      <c r="N40" s="271"/>
      <c r="O40" s="272">
        <f>(M40*(0.04))</f>
        <v>0</v>
      </c>
      <c r="P40" s="273">
        <f>(M40+O40)*0.22</f>
        <v>0</v>
      </c>
      <c r="Q40" s="274">
        <f>IF(F40="E",G40*12,0)</f>
        <v>0</v>
      </c>
      <c r="R40" s="275">
        <f>BW40*0.22</f>
        <v>0</v>
      </c>
      <c r="S40" s="257">
        <f>IF(F40="E",H40*1.5%,0)</f>
        <v>0</v>
      </c>
      <c r="T40" s="258">
        <f>S40*0.02</f>
        <v>0</v>
      </c>
      <c r="U40" s="259">
        <f>(S40+T40)*0.22</f>
        <v>0</v>
      </c>
      <c r="V40" s="274">
        <f>H40*0.15</f>
        <v>0</v>
      </c>
      <c r="W40" s="272">
        <f>V40*0.04</f>
        <v>0</v>
      </c>
      <c r="X40" s="276">
        <f>0.22*(W40+V40)</f>
        <v>0</v>
      </c>
      <c r="Y40" s="277">
        <f>SUM(K40:X40)-Q40+BW40</f>
        <v>0</v>
      </c>
      <c r="Z40" s="278">
        <f>Y40+H40</f>
        <v>0</v>
      </c>
      <c r="AA40" s="278"/>
      <c r="AB40" s="240"/>
      <c r="AC40" s="240"/>
      <c r="AF40" s="151"/>
      <c r="AG40" s="151"/>
      <c r="AH40" s="279">
        <f>IF($N19="E",$T19,0)</f>
        <v>0</v>
      </c>
      <c r="AI40" s="241">
        <f>IF(OR($F40="E",$F40="E"),$G40,0)</f>
        <v>0</v>
      </c>
      <c r="AJ40" s="279">
        <f>IF(OR($F40="B",$F40="C"),$G40,0)</f>
        <v>0</v>
      </c>
      <c r="AK40" s="279">
        <f>IF($F40="A",$G40,0)</f>
        <v>0</v>
      </c>
      <c r="AL40" s="279">
        <f>IF($N19="A",$F19,0)</f>
        <v>0</v>
      </c>
      <c r="AM40" s="241">
        <f>IF(AND($F40="A",$F19&gt;0),$G40,0)</f>
        <v>0</v>
      </c>
      <c r="AN40" s="241">
        <f>IF($F19&gt;0,$G40,0)</f>
        <v>0</v>
      </c>
      <c r="AQ40" s="242">
        <f>IF($N19="E",$R19/'DATI (2)'!$E$13,0)</f>
        <v>0</v>
      </c>
      <c r="AR40" s="242">
        <f>IF($N19="E",$S19/'DATI (2)'!$E$14,0)</f>
        <v>0</v>
      </c>
      <c r="AS40" s="243">
        <f>($R19)/'DATI (2)'!$E$13</f>
        <v>0</v>
      </c>
      <c r="AT40" s="243">
        <f>$S19/'DATI (2)'!$E$14</f>
        <v>0</v>
      </c>
      <c r="AV40" s="242">
        <f>IF(AND($F40="E",$F19&gt;0),$R19/'DATI (2)'!$E$13,0)</f>
        <v>0</v>
      </c>
      <c r="AW40" s="244">
        <f>IF(AND($F40="E",$F19&gt;0),$Z40,0)</f>
        <v>0</v>
      </c>
      <c r="AX40" s="242">
        <f>IF(AND($F40="E",$F19=0),$R19/'DATI (2)'!$E$13,0)</f>
        <v>0</v>
      </c>
      <c r="AY40" s="244">
        <f>IF(AND($F40="E",$F19=0,R19&gt;0),$Z40*$BT40,0)</f>
        <v>0</v>
      </c>
      <c r="AZ40" s="242">
        <f>IF(AND($F40="E"),$S19/'DATI (2)'!$E$13,0)</f>
        <v>0</v>
      </c>
      <c r="BA40" s="244">
        <f>IF(AND($F40="E",$S19&gt;0),$Z40*$BU40,0)</f>
        <v>0</v>
      </c>
      <c r="BC40" s="242">
        <f>IF(AND(OR($F40="B",$F40="C"),$F19&gt;0),$R19/'DATI (2)'!$E$13,0)</f>
        <v>0</v>
      </c>
      <c r="BD40" s="244">
        <f>IF(AND(AND(OR($F40="B",$F40="C")),$F19&gt;0),$Z40,0)</f>
        <v>0</v>
      </c>
      <c r="BE40" s="242">
        <f>IF(AND(OR($F40="B",$F40="C"),$F19=0),$R19/'DATI (2)'!$E$13,0)</f>
        <v>0</v>
      </c>
      <c r="BF40" s="244">
        <f>IF(AND((OR($F40="B",$F40="C")),$F19=0,R19&gt;0),$Z40*$BT40,0)</f>
        <v>0</v>
      </c>
      <c r="BG40" s="242">
        <f>IF(AND(OR($F40="B",$F40="C")),$S19/'DATI (2)'!$E$13,0)</f>
        <v>0</v>
      </c>
      <c r="BH40" s="244">
        <f>IF(AND((OR($F40="B",$F40="C")),$S19&gt;0),$Z40*$BU40,0)</f>
        <v>0</v>
      </c>
      <c r="BJ40" s="242">
        <f>IF(AND($F40="A",$F19&gt;0),$R19/'DATI (2)'!$E$13,0)</f>
        <v>0</v>
      </c>
      <c r="BK40" s="244">
        <f>IF(AND($F40="a",$F19&gt;0),$Z40,0)</f>
        <v>0</v>
      </c>
      <c r="BL40" s="242">
        <f>IF(AND($F40="A",$F19=0),$R19/'DATI (2)'!$E$13,0)</f>
        <v>0</v>
      </c>
      <c r="BM40" s="244">
        <f>IF(AND($F40="a",$F19=0,R19&gt;0),$Z40*$BT40,0)</f>
        <v>0</v>
      </c>
      <c r="BN40" s="242">
        <f>IF(AND($F40="A"),$S19/'DATI (2)'!$E$13,0)</f>
        <v>0</v>
      </c>
      <c r="BO40" s="244">
        <f>IF(AND($F40="a",$S19&gt;0),$Z40*$BU40,0)</f>
        <v>0</v>
      </c>
      <c r="BQ40" s="245">
        <f>Q19</f>
      </c>
      <c r="BR40" s="245">
        <f>R19/'DATI (2)'!$E$13</f>
        <v>0</v>
      </c>
      <c r="BS40" s="245">
        <f>S19/'DATI (2)'!$E$14</f>
        <v>0</v>
      </c>
      <c r="BT40" s="245" t="e">
        <f>BR40/BQ40</f>
        <v>#DIV/0!</v>
      </c>
      <c r="BU40" s="245" t="e">
        <f>BS40/BQ40</f>
        <v>#DIV/0!</v>
      </c>
      <c r="BW40" s="68">
        <f>IF(F40="E",$Q$41*G40/$AI$41,0)</f>
        <v>0</v>
      </c>
    </row>
    <row r="41" spans="4:75" s="196" customFormat="1" ht="21" customHeight="1">
      <c r="D41" s="280" t="s">
        <v>125</v>
      </c>
      <c r="E41" s="280"/>
      <c r="F41" s="280"/>
      <c r="G41" s="280"/>
      <c r="H41" s="281">
        <f>SUM(H26:H40)</f>
        <v>218870.34880000004</v>
      </c>
      <c r="I41" s="281"/>
      <c r="J41" s="281"/>
      <c r="K41" s="282">
        <f>SUM(K26:K40)</f>
        <v>21887.034880000003</v>
      </c>
      <c r="L41" s="282"/>
      <c r="M41" s="282">
        <f>SUM(M26:M40)</f>
        <v>4377.406976</v>
      </c>
      <c r="N41" s="282"/>
      <c r="O41" s="283">
        <f>SUM(O26:O40)</f>
        <v>175.09627903999998</v>
      </c>
      <c r="P41" s="283">
        <f>SUM(P26:P40)</f>
        <v>1001.5507161088001</v>
      </c>
      <c r="Q41" s="283">
        <f>IF(A5&gt;0,MIN(MAXA(5000,(SUM(Q26:Q40))),20000),0)</f>
        <v>5000</v>
      </c>
      <c r="R41" s="283">
        <f>Q41*0.22</f>
        <v>1100</v>
      </c>
      <c r="S41" s="283">
        <f>SUM(S26:S40)</f>
        <v>2631.538032</v>
      </c>
      <c r="T41" s="283">
        <f>SUM(T26:T40)</f>
        <v>52.63076063999999</v>
      </c>
      <c r="U41" s="283">
        <f>SUM(U26:U40)</f>
        <v>590.5171343807999</v>
      </c>
      <c r="V41" s="283">
        <f>SUM(V26:V40)</f>
        <v>32830.55232</v>
      </c>
      <c r="W41" s="283">
        <f>SUM(W26:W40)</f>
        <v>1313.2220928</v>
      </c>
      <c r="X41" s="283">
        <f>SUM(X26:X40)</f>
        <v>7511.630370816</v>
      </c>
      <c r="Y41" s="283">
        <f>SUM(Y26:Y40)</f>
        <v>78471.1795617856</v>
      </c>
      <c r="Z41" s="284">
        <f>SUM(Z26:AA40)</f>
        <v>297341.5283617856</v>
      </c>
      <c r="AA41" s="284"/>
      <c r="AB41" s="284"/>
      <c r="AC41" s="285"/>
      <c r="AF41" s="286"/>
      <c r="AG41" s="287" t="s">
        <v>125</v>
      </c>
      <c r="AH41" s="288">
        <f>SUM(AH26:AH40)</f>
        <v>137.42</v>
      </c>
      <c r="AI41" s="288">
        <f>SUM(AI26:AI40)</f>
        <v>186</v>
      </c>
      <c r="AJ41" s="288">
        <f>SUM(AJ26:AJ40)</f>
        <v>0</v>
      </c>
      <c r="AK41" s="288">
        <f>SUM(AK26:AK40)-AM41</f>
        <v>70</v>
      </c>
      <c r="AL41" s="288">
        <f>SUM(AL26:AL40)</f>
        <v>1</v>
      </c>
      <c r="AM41" s="288">
        <f>SUM(AM26:AM40)</f>
        <v>112</v>
      </c>
      <c r="AN41" s="288">
        <f>SUM(AN26:AN40)</f>
        <v>112</v>
      </c>
      <c r="AQ41" s="289">
        <f>SUM(AQ26:AQ40)</f>
        <v>125.17647058823529</v>
      </c>
      <c r="AR41" s="289">
        <f>SUM(AR26:AR40)</f>
        <v>60.82352941176471</v>
      </c>
      <c r="AS41" s="289">
        <f>SUM(AS26:AS40)</f>
        <v>313.1764705882353</v>
      </c>
      <c r="AT41" s="289">
        <f>SUM(AT26:AT40)</f>
        <v>168.8235294117647</v>
      </c>
      <c r="AU41" s="70"/>
      <c r="AV41" s="289">
        <f>SUM(AV26:AV40)</f>
        <v>0</v>
      </c>
      <c r="AW41" s="290">
        <f>SUM(AW26:AW40)</f>
        <v>0</v>
      </c>
      <c r="AX41" s="289">
        <f>SUM(AX26:AX40)</f>
        <v>125.17647058823529</v>
      </c>
      <c r="AY41" s="290">
        <f>SUM(AY26:AY40)</f>
        <v>184689.1694224925</v>
      </c>
      <c r="AZ41" s="289">
        <f>SUM(AZ26:AZ40)</f>
        <v>60.82352941176471</v>
      </c>
      <c r="BA41" s="290">
        <f>SUM(BA26:BA40)</f>
        <v>55505.787341213094</v>
      </c>
      <c r="BB41" s="68"/>
      <c r="BC41" s="289">
        <f>SUM(BC26:BC40)</f>
        <v>0</v>
      </c>
      <c r="BD41" s="290">
        <f>SUM(BD26:BD40)</f>
        <v>0</v>
      </c>
      <c r="BE41" s="289">
        <f>SUM(BE26:BE40)</f>
        <v>0</v>
      </c>
      <c r="BF41" s="290">
        <f>SUM(BF26:BF40)</f>
        <v>0</v>
      </c>
      <c r="BG41" s="289">
        <f>SUM(BG26:BG40)</f>
        <v>0</v>
      </c>
      <c r="BH41" s="289">
        <f>SUM(BH26:BH40)</f>
        <v>0</v>
      </c>
      <c r="BI41" s="68"/>
      <c r="BJ41" s="289">
        <f>SUM(BJ26:BJ40)</f>
        <v>112</v>
      </c>
      <c r="BK41" s="290">
        <f>SUM(BK26:BK40)</f>
        <v>29546.11142144</v>
      </c>
      <c r="BL41" s="289">
        <f>SUM(BL26:BL40)</f>
        <v>114</v>
      </c>
      <c r="BM41" s="290">
        <f>SUM(BM26:BM40)</f>
        <v>17100.2721123</v>
      </c>
      <c r="BN41" s="289">
        <f>SUM(BN26:BN40)</f>
        <v>70</v>
      </c>
      <c r="BO41" s="289">
        <f>SUM(BO26:BO40)</f>
        <v>10500.175067200002</v>
      </c>
      <c r="BW41" s="196">
        <f>SUM(BW26:BW40)</f>
        <v>5000</v>
      </c>
    </row>
    <row r="42" spans="32:67" ht="12.75">
      <c r="AF42" s="291"/>
      <c r="AG42" s="292" t="s">
        <v>126</v>
      </c>
      <c r="AH42" s="293">
        <f>COUNTIF($N$5:$N$19,"E")</f>
        <v>2</v>
      </c>
      <c r="AI42" s="294">
        <f>COUNTIF($N$5:$N$19,"B")+COUNTIF($N$5:$N$19,"C")</f>
        <v>0</v>
      </c>
      <c r="AJ42" s="294">
        <f>COUNTIF($N$5:$N$19,"B")+COUNTIF($N$5:$N$19,"C")</f>
        <v>0</v>
      </c>
      <c r="AK42" s="294">
        <f>AK43-AL42</f>
        <v>3</v>
      </c>
      <c r="AL42" s="294">
        <f>SUM(AL26:AL40)</f>
        <v>1</v>
      </c>
      <c r="AM42" s="294">
        <f>SUM(AM26:AM40)</f>
        <v>112</v>
      </c>
      <c r="AN42" s="294">
        <f>SUM(AN26:AN40)</f>
        <v>112</v>
      </c>
      <c r="AQ42" s="295">
        <f>COUNTIF($P$4:$P$18,"E")</f>
        <v>0</v>
      </c>
      <c r="AR42" s="295"/>
      <c r="AS42" s="295">
        <f>COUNTIF($P$4:$P$18,"E")</f>
        <v>0</v>
      </c>
      <c r="AT42" s="295">
        <f>COUNTIF($P$4:$P$18,"E")</f>
        <v>0</v>
      </c>
      <c r="AV42" s="295">
        <f>COUNTIF(AV26:AV40,"&gt;0")</f>
        <v>0</v>
      </c>
      <c r="AW42" s="295"/>
      <c r="AX42" s="295">
        <f>COUNTIF(AX26:AX40,"&gt;0")</f>
        <v>2</v>
      </c>
      <c r="AY42" s="295"/>
      <c r="AZ42" s="295">
        <f>COUNTIF(AZ26:AZ40,"&gt;0")</f>
        <v>1</v>
      </c>
      <c r="BA42" s="295"/>
      <c r="BC42" s="295">
        <f>COUNTIF(BC26:BC40,"&gt;0")</f>
        <v>0</v>
      </c>
      <c r="BD42" s="295"/>
      <c r="BE42" s="295">
        <f>COUNTIF(BE26:BE40,"&gt;0")</f>
        <v>0</v>
      </c>
      <c r="BF42" s="295"/>
      <c r="BG42" s="295">
        <f>COUNTIF(BG26:BG40,"&gt;0")</f>
        <v>0</v>
      </c>
      <c r="BH42" s="295">
        <f>COUNTIF(BH26:BH40,"&gt;0")</f>
        <v>0</v>
      </c>
      <c r="BJ42" s="295">
        <f>COUNTIF(BJ26:BJ40,"&gt;0")</f>
        <v>1</v>
      </c>
      <c r="BK42" s="295"/>
      <c r="BL42" s="295">
        <f>COUNTIF(BL26:BL40,"&gt;0")</f>
        <v>2</v>
      </c>
      <c r="BM42" s="295"/>
      <c r="BN42" s="295">
        <f>COUNTIF(BN26:BN40,"&gt;0")</f>
        <v>1</v>
      </c>
      <c r="BO42" s="295">
        <f>COUNTIF(BO26:BO40,"&gt;0")</f>
        <v>1</v>
      </c>
    </row>
    <row r="43" spans="4:39" ht="12.75">
      <c r="D43" s="68" t="s">
        <v>127</v>
      </c>
      <c r="AF43" s="151"/>
      <c r="AG43" s="151"/>
      <c r="AH43" s="151"/>
      <c r="AI43" s="296" t="s">
        <v>128</v>
      </c>
      <c r="AJ43" s="296" t="s">
        <v>128</v>
      </c>
      <c r="AK43" s="297">
        <f>COUNTIF($N$5:$N$19,"A")</f>
        <v>4</v>
      </c>
      <c r="AL43" s="151"/>
      <c r="AM43" s="151"/>
    </row>
    <row r="44" spans="4:39" ht="12.75">
      <c r="D44" s="68" t="s">
        <v>129</v>
      </c>
      <c r="AF44" s="151"/>
      <c r="AG44" s="151"/>
      <c r="AH44" s="151"/>
      <c r="AI44" s="296" t="s">
        <v>128</v>
      </c>
      <c r="AJ44" s="296" t="s">
        <v>128</v>
      </c>
      <c r="AK44" s="294">
        <f>SUM(AK26:AK40)</f>
        <v>182</v>
      </c>
      <c r="AL44" s="151"/>
      <c r="AM44" s="151"/>
    </row>
    <row r="45" spans="4:64" ht="12.75">
      <c r="D45" s="68" t="s">
        <v>130</v>
      </c>
      <c r="AF45" s="151"/>
      <c r="AG45" s="151"/>
      <c r="AH45" s="151"/>
      <c r="AI45" s="68" t="s">
        <v>131</v>
      </c>
      <c r="AJ45" s="151"/>
      <c r="AK45" s="294">
        <f>(SUM(S5:S19)/'DATI (2)'!$E$14)</f>
        <v>168.82352941176472</v>
      </c>
      <c r="AL45" s="151"/>
      <c r="AM45" s="151"/>
      <c r="BJ45" s="264">
        <f>$BM$41+$BK$41+$BO$41+$BH$41+$BF$41+$BD$41+$BA$41+$AY$41+$AW$41</f>
        <v>297341.51536464563</v>
      </c>
      <c r="BK45" s="264">
        <f>$Z$41</f>
        <v>297341.5283617856</v>
      </c>
      <c r="BL45" s="264">
        <f>BJ45-BK45</f>
        <v>-0.012997139943763614</v>
      </c>
    </row>
    <row r="46" spans="20:42" ht="12.75">
      <c r="T46" s="198"/>
      <c r="AF46" s="151"/>
      <c r="AG46" s="151"/>
      <c r="AH46" s="151"/>
      <c r="AI46" s="151"/>
      <c r="AJ46" s="151"/>
      <c r="AK46" s="151"/>
      <c r="AL46" s="151"/>
      <c r="AM46" s="71"/>
      <c r="AN46" s="71"/>
      <c r="AO46" s="71"/>
      <c r="AP46" s="71"/>
    </row>
    <row r="47" spans="32:42" ht="12.75"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</row>
    <row r="48" spans="32:42" ht="12.75"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</row>
    <row r="49" spans="32:42" ht="12.75"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</row>
  </sheetData>
  <sheetProtection selectLockedCells="1" selectUnlockedCells="1"/>
  <mergeCells count="78">
    <mergeCell ref="D3:T3"/>
    <mergeCell ref="U3:AC3"/>
    <mergeCell ref="D24:X24"/>
    <mergeCell ref="Y24:AC24"/>
    <mergeCell ref="AI24:AK24"/>
    <mergeCell ref="AL24:AM24"/>
    <mergeCell ref="AV24:BO24"/>
    <mergeCell ref="H25:J25"/>
    <mergeCell ref="K25:L25"/>
    <mergeCell ref="M25:N25"/>
    <mergeCell ref="Z25:AA25"/>
    <mergeCell ref="AB25:AC25"/>
    <mergeCell ref="H26:J26"/>
    <mergeCell ref="K26:L26"/>
    <mergeCell ref="M26:N26"/>
    <mergeCell ref="Z26:AA26"/>
    <mergeCell ref="AB26:AC40"/>
    <mergeCell ref="H27:J27"/>
    <mergeCell ref="K27:L27"/>
    <mergeCell ref="M27:N27"/>
    <mergeCell ref="Z27:AA27"/>
    <mergeCell ref="H28:J28"/>
    <mergeCell ref="K28:L28"/>
    <mergeCell ref="M28:N28"/>
    <mergeCell ref="Z28:AA28"/>
    <mergeCell ref="H29:J29"/>
    <mergeCell ref="K29:L29"/>
    <mergeCell ref="M29:N29"/>
    <mergeCell ref="Z29:AA29"/>
    <mergeCell ref="H30:J30"/>
    <mergeCell ref="K30:L30"/>
    <mergeCell ref="M30:N30"/>
    <mergeCell ref="Z30:AA30"/>
    <mergeCell ref="H31:J31"/>
    <mergeCell ref="K31:L31"/>
    <mergeCell ref="M31:N31"/>
    <mergeCell ref="Z31:AA31"/>
    <mergeCell ref="H32:J32"/>
    <mergeCell ref="K32:L32"/>
    <mergeCell ref="M32:N32"/>
    <mergeCell ref="Z32:AA32"/>
    <mergeCell ref="H33:J33"/>
    <mergeCell ref="K33:L33"/>
    <mergeCell ref="M33:N33"/>
    <mergeCell ref="Z33:AA33"/>
    <mergeCell ref="H34:J34"/>
    <mergeCell ref="K34:L34"/>
    <mergeCell ref="M34:N34"/>
    <mergeCell ref="Z34:AA34"/>
    <mergeCell ref="H35:J35"/>
    <mergeCell ref="K35:L35"/>
    <mergeCell ref="M35:N35"/>
    <mergeCell ref="Z35:AA35"/>
    <mergeCell ref="H36:J36"/>
    <mergeCell ref="K36:L36"/>
    <mergeCell ref="M36:N36"/>
    <mergeCell ref="Z36:AA36"/>
    <mergeCell ref="H37:J37"/>
    <mergeCell ref="K37:L37"/>
    <mergeCell ref="M37:N37"/>
    <mergeCell ref="Z37:AA37"/>
    <mergeCell ref="H38:J38"/>
    <mergeCell ref="K38:L38"/>
    <mergeCell ref="M38:N38"/>
    <mergeCell ref="Z38:AA38"/>
    <mergeCell ref="H39:J39"/>
    <mergeCell ref="K39:L39"/>
    <mergeCell ref="M39:N39"/>
    <mergeCell ref="Z39:AA39"/>
    <mergeCell ref="H40:J40"/>
    <mergeCell ref="K40:L40"/>
    <mergeCell ref="M40:N40"/>
    <mergeCell ref="Z40:AA40"/>
    <mergeCell ref="D41:G41"/>
    <mergeCell ref="H41:J41"/>
    <mergeCell ref="K41:L41"/>
    <mergeCell ref="M41:N41"/>
    <mergeCell ref="Z41:AA41"/>
  </mergeCells>
  <conditionalFormatting sqref="S26:U40">
    <cfRule type="cellIs" priority="1" dxfId="0" operator="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49"/>
  <sheetViews>
    <sheetView zoomScale="75" zoomScaleNormal="75" zoomScaleSheetLayoutView="70" workbookViewId="0" topLeftCell="AQ22">
      <selection activeCell="S10" sqref="S10"/>
    </sheetView>
  </sheetViews>
  <sheetFormatPr defaultColWidth="9.140625" defaultRowHeight="12.75"/>
  <cols>
    <col min="1" max="1" width="12.140625" style="68" customWidth="1"/>
    <col min="2" max="2" width="7.57421875" style="68" customWidth="1"/>
    <col min="3" max="3" width="10.140625" style="68" customWidth="1"/>
    <col min="4" max="5" width="10.421875" style="68" customWidth="1"/>
    <col min="6" max="6" width="7.7109375" style="68" customWidth="1"/>
    <col min="7" max="7" width="14.57421875" style="68" customWidth="1"/>
    <col min="8" max="9" width="13.00390625" style="68" customWidth="1"/>
    <col min="10" max="10" width="22.140625" style="68" customWidth="1"/>
    <col min="11" max="12" width="8.28125" style="68" customWidth="1"/>
    <col min="13" max="13" width="11.28125" style="68" customWidth="1"/>
    <col min="14" max="14" width="12.57421875" style="69" customWidth="1"/>
    <col min="15" max="15" width="25.28125" style="69" customWidth="1"/>
    <col min="16" max="16" width="16.57421875" style="69" customWidth="1"/>
    <col min="17" max="17" width="15.28125" style="69" customWidth="1"/>
    <col min="18" max="18" width="14.8515625" style="69" customWidth="1"/>
    <col min="19" max="19" width="18.140625" style="69" customWidth="1"/>
    <col min="20" max="20" width="27.140625" style="69" customWidth="1"/>
    <col min="21" max="21" width="21.7109375" style="68" customWidth="1"/>
    <col min="22" max="22" width="20.7109375" style="68" customWidth="1"/>
    <col min="23" max="23" width="19.7109375" style="68" customWidth="1"/>
    <col min="24" max="24" width="21.140625" style="68" customWidth="1"/>
    <col min="25" max="25" width="19.8515625" style="68" customWidth="1"/>
    <col min="26" max="26" width="10.421875" style="68" customWidth="1"/>
    <col min="27" max="28" width="21.57421875" style="68" customWidth="1"/>
    <col min="29" max="29" width="21.140625" style="68" customWidth="1"/>
    <col min="30" max="31" width="1.421875" style="68" customWidth="1"/>
    <col min="32" max="32" width="12.28125" style="68" customWidth="1"/>
    <col min="33" max="33" width="7.7109375" style="68" customWidth="1"/>
    <col min="34" max="34" width="12.421875" style="68" customWidth="1"/>
    <col min="35" max="35" width="12.140625" style="68" customWidth="1"/>
    <col min="36" max="36" width="9.28125" style="68" customWidth="1"/>
    <col min="37" max="37" width="15.28125" style="68" customWidth="1"/>
    <col min="38" max="38" width="12.7109375" style="68" customWidth="1"/>
    <col min="39" max="39" width="11.00390625" style="68" customWidth="1"/>
    <col min="40" max="40" width="12.140625" style="68" customWidth="1"/>
    <col min="41" max="46" width="8.8515625" style="68" customWidth="1"/>
    <col min="47" max="47" width="8.8515625" style="70" customWidth="1"/>
    <col min="48" max="48" width="8.8515625" style="68" customWidth="1"/>
    <col min="49" max="49" width="20.8515625" style="68" customWidth="1"/>
    <col min="50" max="50" width="8.8515625" style="68" customWidth="1"/>
    <col min="51" max="51" width="13.8515625" style="68" customWidth="1"/>
    <col min="52" max="61" width="8.8515625" style="68" customWidth="1"/>
    <col min="62" max="63" width="11.8515625" style="68" customWidth="1"/>
    <col min="64" max="64" width="17.140625" style="68" customWidth="1"/>
    <col min="65" max="65" width="15.140625" style="68" customWidth="1"/>
    <col min="66" max="16384" width="8.8515625" style="68" customWidth="1"/>
  </cols>
  <sheetData>
    <row r="1" spans="32:42" ht="12.75"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</row>
    <row r="2" spans="4:42" ht="36" customHeight="1"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 t="s">
        <v>33</v>
      </c>
      <c r="P2" s="74"/>
      <c r="Q2" s="73"/>
      <c r="R2" s="73"/>
      <c r="S2" s="73" t="s">
        <v>132</v>
      </c>
      <c r="T2" s="73" t="s">
        <v>35</v>
      </c>
      <c r="U2" s="73" t="s">
        <v>133</v>
      </c>
      <c r="V2" s="73" t="s">
        <v>37</v>
      </c>
      <c r="W2" s="73"/>
      <c r="X2" s="73"/>
      <c r="Y2" s="73"/>
      <c r="Z2" s="73"/>
      <c r="AA2" s="73"/>
      <c r="AB2" s="73"/>
      <c r="AC2" s="75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4:42" ht="25.5" customHeight="1">
      <c r="D3" s="76" t="s">
        <v>38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 t="s">
        <v>39</v>
      </c>
      <c r="V3" s="76"/>
      <c r="W3" s="76"/>
      <c r="X3" s="76"/>
      <c r="Y3" s="76"/>
      <c r="Z3" s="76"/>
      <c r="AA3" s="76"/>
      <c r="AB3" s="76"/>
      <c r="AC3" s="76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47" s="88" customFormat="1" ht="75" customHeight="1">
      <c r="A4" s="77" t="s">
        <v>40</v>
      </c>
      <c r="B4" s="77" t="s">
        <v>41</v>
      </c>
      <c r="C4" s="78" t="s">
        <v>42</v>
      </c>
      <c r="D4" s="79" t="s">
        <v>43</v>
      </c>
      <c r="E4" s="80" t="s">
        <v>44</v>
      </c>
      <c r="F4" s="80" t="s">
        <v>45</v>
      </c>
      <c r="G4" s="80" t="s">
        <v>46</v>
      </c>
      <c r="H4" s="80" t="s">
        <v>47</v>
      </c>
      <c r="I4" s="80" t="s">
        <v>48</v>
      </c>
      <c r="J4" s="80" t="s">
        <v>49</v>
      </c>
      <c r="K4" s="80" t="s">
        <v>50</v>
      </c>
      <c r="L4" s="80" t="s">
        <v>51</v>
      </c>
      <c r="M4" s="81" t="s">
        <v>52</v>
      </c>
      <c r="N4" s="82" t="s">
        <v>53</v>
      </c>
      <c r="O4" s="82" t="s">
        <v>54</v>
      </c>
      <c r="P4" s="82" t="s">
        <v>55</v>
      </c>
      <c r="Q4" s="82" t="s">
        <v>56</v>
      </c>
      <c r="R4" s="82" t="s">
        <v>57</v>
      </c>
      <c r="S4" s="82" t="s">
        <v>58</v>
      </c>
      <c r="T4" s="83" t="s">
        <v>59</v>
      </c>
      <c r="U4" s="82" t="s">
        <v>60</v>
      </c>
      <c r="V4" s="82" t="s">
        <v>134</v>
      </c>
      <c r="W4" s="298" t="s">
        <v>135</v>
      </c>
      <c r="X4" s="82" t="s">
        <v>63</v>
      </c>
      <c r="Y4" s="82" t="s">
        <v>28</v>
      </c>
      <c r="Z4" s="82" t="s">
        <v>64</v>
      </c>
      <c r="AA4" s="82" t="s">
        <v>65</v>
      </c>
      <c r="AB4" s="84" t="s">
        <v>66</v>
      </c>
      <c r="AC4" s="85" t="s">
        <v>67</v>
      </c>
      <c r="AD4" s="86"/>
      <c r="AE4" s="86"/>
      <c r="AF4" s="86"/>
      <c r="AG4" s="86"/>
      <c r="AH4" s="86"/>
      <c r="AI4" s="86"/>
      <c r="AJ4" s="86"/>
      <c r="AK4" s="87"/>
      <c r="AL4" s="86"/>
      <c r="AM4" s="86"/>
      <c r="AN4" s="86"/>
      <c r="AO4" s="86"/>
      <c r="AP4" s="86"/>
      <c r="AU4" s="89"/>
    </row>
    <row r="5" spans="1:42" ht="24" customHeight="1">
      <c r="A5" s="90">
        <f>COUNTIF(N5:N19,"E")</f>
        <v>5</v>
      </c>
      <c r="B5" s="90">
        <v>1</v>
      </c>
      <c r="C5" s="91" t="s">
        <v>68</v>
      </c>
      <c r="D5" s="92">
        <v>23</v>
      </c>
      <c r="E5" s="93"/>
      <c r="F5" s="94">
        <v>0</v>
      </c>
      <c r="G5" s="95"/>
      <c r="H5" s="96" t="s">
        <v>70</v>
      </c>
      <c r="I5" s="97" t="s">
        <v>71</v>
      </c>
      <c r="J5" s="98"/>
      <c r="K5" s="99">
        <v>2</v>
      </c>
      <c r="L5" s="99">
        <v>6.5</v>
      </c>
      <c r="M5" s="99">
        <v>1</v>
      </c>
      <c r="N5" s="100" t="s">
        <v>77</v>
      </c>
      <c r="O5" s="101"/>
      <c r="P5" s="102">
        <v>55</v>
      </c>
      <c r="Q5" s="103">
        <f>IF(P5&gt;0,(P5*K5),"")</f>
        <v>110</v>
      </c>
      <c r="R5" s="103">
        <f>IF(N5&lt;&gt;"",Q5*DATI!$E$13-S5,"0,00")</f>
        <v>93.5</v>
      </c>
      <c r="S5" s="102">
        <v>0</v>
      </c>
      <c r="T5" s="104">
        <f>IF(OR(R5&gt;0,S5&gt;0),(R5+S5*0.6),"")</f>
        <v>93.5</v>
      </c>
      <c r="U5" s="105" t="str">
        <f>IF($A$5&gt;0," ",IF(AND(N5="A",F5&gt;0),(9687.52)*F5,IF(AND($A$5=0,C5="S",N5="A",F5=1),9687.52," ")))</f>
        <v> </v>
      </c>
      <c r="V5" s="106" t="str">
        <f>IF(AND(N5="A",F5&gt;=0,C5="s",$A$5&gt;0),9687.52*F5+114.01*Q5," ")</f>
        <v> </v>
      </c>
      <c r="W5" s="107" t="str">
        <f>IF(AND(OR(N5="B",N5="C"),$A$5=0,$C$5="N"),116.25*Q5+'DATI (2)'!$E$4*Q5,IF(AND(OR(N5="B",N5="C"),$A$5=0,$C$5="S"),114.01*Q5+'DATI (2)'!$E$4*Q5," "))</f>
        <v> </v>
      </c>
      <c r="X5" s="106" t="str">
        <f>IF(AND(OR(N5="B",N5="C"),C5="s",$A$5&gt;0),114.01*1.3*Q5+1.3*'DATI (2)'!$E$4*Q5," ")</f>
        <v> </v>
      </c>
      <c r="Y5" s="106">
        <f>IF(N5="E",IF(M5=1,'DATI (2)'!$E$7*T5,IF(M5=2,'DATI (2)'!$E$8*T5,IF(M5=3,'DATI (2)'!$E$9*T5)))*B5," ")</f>
        <v>119365.84000000001</v>
      </c>
      <c r="Z5" s="108"/>
      <c r="AA5" s="109">
        <f>IF(Z5="X",'DATI (2)'!$E$5*P5*L5,"")</f>
      </c>
      <c r="AB5" s="110">
        <f>IF(G5="X",-SUM(U5:Y5)*'DATI (2)'!$E$15,"")</f>
      </c>
      <c r="AC5" s="111">
        <f>SUM(U5:AB5)</f>
        <v>119365.84000000001</v>
      </c>
      <c r="AD5" s="71"/>
      <c r="AE5" s="71"/>
      <c r="AF5" s="71"/>
      <c r="AG5" s="71"/>
      <c r="AH5" s="71"/>
      <c r="AI5" s="71"/>
      <c r="AJ5" s="71"/>
      <c r="AK5" s="112"/>
      <c r="AL5" s="71"/>
      <c r="AM5" s="71"/>
      <c r="AN5" s="71"/>
      <c r="AO5" s="71"/>
      <c r="AP5" s="71"/>
    </row>
    <row r="6" spans="1:42" ht="19.5" customHeight="1">
      <c r="A6" s="113"/>
      <c r="B6" s="90">
        <v>1</v>
      </c>
      <c r="C6" s="91" t="s">
        <v>68</v>
      </c>
      <c r="D6" s="114">
        <v>23</v>
      </c>
      <c r="E6" s="115"/>
      <c r="F6" s="116">
        <v>0</v>
      </c>
      <c r="G6" s="117"/>
      <c r="H6" s="118" t="s">
        <v>136</v>
      </c>
      <c r="I6" s="119" t="s">
        <v>75</v>
      </c>
      <c r="J6" s="120"/>
      <c r="K6" s="121">
        <v>1</v>
      </c>
      <c r="L6" s="121">
        <v>3.1</v>
      </c>
      <c r="M6" s="121">
        <v>1</v>
      </c>
      <c r="N6" s="122" t="s">
        <v>77</v>
      </c>
      <c r="O6" s="123"/>
      <c r="P6" s="124">
        <v>55</v>
      </c>
      <c r="Q6" s="125">
        <f>IF(P6&gt;0,(P6*K6),"")</f>
        <v>55</v>
      </c>
      <c r="R6" s="125">
        <f>IF(N6&lt;&gt;"",Q6*DATI!$E$13-S6,"0,00")</f>
        <v>0</v>
      </c>
      <c r="S6" s="124">
        <v>46.75</v>
      </c>
      <c r="T6" s="126">
        <f>IF(OR(R6&gt;0,S6&gt;0),(R6+S6*0.6),"")</f>
        <v>28.05</v>
      </c>
      <c r="U6" s="127" t="str">
        <f>IF($A$5&gt;0," ",IF(AND(N6="A",F6&gt;0),(9687.52)*F6,IF(AND($A$5=0,C6="S",N6="A",F6=1),9687.52," ")))</f>
        <v> </v>
      </c>
      <c r="V6" s="128" t="str">
        <f>IF(AND(N6="A",F6&gt;=0,C6="s",$A$5&gt;0),9687.52*F6+114.01*Q6," ")</f>
        <v> </v>
      </c>
      <c r="W6" s="129" t="str">
        <f>IF(AND(OR(N6="B",N6="C"),$A$5=0,$C$5="N"),116.25*Q6+'DATI (2)'!$E$4*Q6,IF(AND(OR(N6="B",N6="C"),$A$5=0,$C$5="S"),114.01*Q6+'DATI (2)'!$E$4*Q6," "))</f>
        <v> </v>
      </c>
      <c r="X6" s="128" t="str">
        <f>IF(AND(OR(N6="B",N6="C"),C6="s",$A$5&gt;0),114.01*1.3*Q6+1.3*'DATI (2)'!$E$4*Q6," ")</f>
        <v> </v>
      </c>
      <c r="Y6" s="128">
        <f>IF(N6="E",IF(M6=1,'DATI (2)'!$E$7*T6,IF(M6=2,'DATI (2)'!$E$8*T6,IF(M6=3,'DATI (2)'!$E$9*T6)))*B6," ")</f>
        <v>35809.752</v>
      </c>
      <c r="Z6" s="130"/>
      <c r="AA6" s="131">
        <f>IF(Z6="X",'DATI (2)'!$E$5*P6*L6,"")</f>
      </c>
      <c r="AB6" s="132">
        <f>IF(G6="X",-SUM(U6:Y6)*'DATI (2)'!$E$15,"")</f>
      </c>
      <c r="AC6" s="133">
        <f>SUM(U6:AB6)</f>
        <v>35809.752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42" ht="19.5" customHeight="1">
      <c r="A7" s="113"/>
      <c r="B7" s="90">
        <v>1</v>
      </c>
      <c r="C7" s="91" t="s">
        <v>68</v>
      </c>
      <c r="D7" s="134">
        <v>24</v>
      </c>
      <c r="E7" s="135"/>
      <c r="F7" s="136">
        <v>0</v>
      </c>
      <c r="G7" s="137"/>
      <c r="H7" s="138" t="s">
        <v>70</v>
      </c>
      <c r="I7" s="138" t="s">
        <v>71</v>
      </c>
      <c r="J7" s="139"/>
      <c r="K7" s="140">
        <v>2.6</v>
      </c>
      <c r="L7" s="140">
        <v>9.5</v>
      </c>
      <c r="M7" s="140">
        <v>1</v>
      </c>
      <c r="N7" s="141" t="s">
        <v>77</v>
      </c>
      <c r="O7" s="142"/>
      <c r="P7" s="143">
        <v>25</v>
      </c>
      <c r="Q7" s="125">
        <f>IF(P7&gt;0,(P7*K7),"")</f>
        <v>65</v>
      </c>
      <c r="R7" s="125">
        <f>IF(N7&lt;&gt;"",Q7*DATI!$E$13-S7,"0,00")</f>
        <v>55.25</v>
      </c>
      <c r="S7" s="143">
        <v>0</v>
      </c>
      <c r="T7" s="126">
        <f>IF(OR(R7&gt;0,S7&gt;0),(R7+S7*0.6),"")</f>
        <v>55.25</v>
      </c>
      <c r="U7" s="144" t="str">
        <f>IF($A$5&gt;0," ",IF(AND(N7="A",F7&gt;0),(9687.52)*F7,IF(AND($A$5=0,C7="S",N7="A",F7=1),9687.52," ")))</f>
        <v> </v>
      </c>
      <c r="V7" s="128" t="str">
        <f>IF(AND(N7="A",F7&gt;=0,C7="s",$A$5&gt;0),9687.52*F7+114.01*Q7," ")</f>
        <v> </v>
      </c>
      <c r="W7" s="145" t="str">
        <f>IF(AND(OR(N7="B",N7="C"),$A$5=0,$C$5="N"),116.25*Q7+'DATI (2)'!$E$4*Q7,IF(AND(OR(N7="B",N7="C"),$A$5=0,$C$5="S"),114.01*Q7+'DATI (2)'!$E$4*Q7," "))</f>
        <v> </v>
      </c>
      <c r="X7" s="128" t="str">
        <f>IF(AND(OR(N7="B",N7="C"),C7="s",$A$5&gt;0),114.01*1.3*Q7+1.3*'DATI (2)'!$E$4*Q7," ")</f>
        <v> </v>
      </c>
      <c r="Y7" s="128">
        <f>IF(N7="E",IF(M7=1,'DATI (2)'!$E$7*T7,IF(M7=2,'DATI (2)'!$E$8*T7,IF(M7=3,'DATI (2)'!$E$9*T7)))*B7," ")</f>
        <v>70534.36</v>
      </c>
      <c r="Z7" s="130"/>
      <c r="AA7" s="131">
        <f>IF(Z7="X",'DATI (2)'!$E$5*P7*L7,"")</f>
      </c>
      <c r="AB7" s="132">
        <f>IF(G7="X",-SUM(U7:Y7)*'DATI (2)'!$E$15,"")</f>
      </c>
      <c r="AC7" s="133">
        <f>SUM(U7:AB7)</f>
        <v>70534.36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spans="1:42" ht="27" customHeight="1">
      <c r="A8" s="113"/>
      <c r="B8" s="90">
        <v>1</v>
      </c>
      <c r="C8" s="91" t="s">
        <v>68</v>
      </c>
      <c r="D8" s="134">
        <v>25</v>
      </c>
      <c r="E8" s="135"/>
      <c r="F8" s="136">
        <v>0</v>
      </c>
      <c r="G8" s="137"/>
      <c r="H8" s="118" t="s">
        <v>70</v>
      </c>
      <c r="I8" s="138" t="s">
        <v>71</v>
      </c>
      <c r="J8" s="139"/>
      <c r="K8" s="140">
        <v>3.6</v>
      </c>
      <c r="L8" s="140">
        <v>9.5</v>
      </c>
      <c r="M8" s="140">
        <v>1</v>
      </c>
      <c r="N8" s="141" t="s">
        <v>77</v>
      </c>
      <c r="O8" s="142"/>
      <c r="P8" s="143">
        <v>38</v>
      </c>
      <c r="Q8" s="125">
        <f>IF(P8&gt;0,(P8*K8),"")</f>
        <v>136.8</v>
      </c>
      <c r="R8" s="125">
        <f>IF(N8&lt;&gt;"",Q8*DATI!$E$13-S8,"0,00")</f>
        <v>116.28</v>
      </c>
      <c r="S8" s="143">
        <v>0</v>
      </c>
      <c r="T8" s="126">
        <f>IF(OR(R8&gt;0,S8&gt;0),(R8+S8*0.6),"")</f>
        <v>116.28</v>
      </c>
      <c r="U8" s="144" t="str">
        <f>IF($A$5&gt;0," ",IF(AND(N8="A",F8&gt;0),(9687.52)*F8,IF(AND($A$5=0,C8="S",N8="A",F8=1),9687.52," ")))</f>
        <v> </v>
      </c>
      <c r="V8" s="128" t="str">
        <f>IF(AND(N8="A",F8&gt;=0,C8="s",$A$5&gt;0),9687.52*F8+114.01*Q8," ")</f>
        <v> </v>
      </c>
      <c r="W8" s="145" t="str">
        <f>IF(AND(OR(N8="B",N8="C"),$A$5=0,$C$5="N"),116.25*Q8+'DATI (2)'!$E$4*Q8,IF(AND(OR(N8="B",N8="C"),$A$5=0,$C$5="S"),114.01*Q8+'DATI (2)'!$E$4*Q8," "))</f>
        <v> </v>
      </c>
      <c r="X8" s="128" t="str">
        <f>IF(AND(OR(N8="B",N8="C"),C8="s",$A$5&gt;0),114.01*1.3*Q8+1.3*'DATI (2)'!$E$4*Q8," ")</f>
        <v> </v>
      </c>
      <c r="Y8" s="128">
        <f>IF(N8="E",IF(M8=1,'DATI (2)'!$E$7*T8,IF(M8=2,'DATI (2)'!$E$8*T8,IF(M8=3,'DATI (2)'!$E$9*T8)))*B8," ")</f>
        <v>148447.6992</v>
      </c>
      <c r="Z8" s="130"/>
      <c r="AA8" s="131">
        <f>IF(Z8="X",'DATI (2)'!$E$5*P8*L8,"")</f>
      </c>
      <c r="AB8" s="132">
        <f>IF(G8="X",-SUM(U8:Y8)*'DATI (2)'!$E$15,"")</f>
      </c>
      <c r="AC8" s="133">
        <f>SUM(U8:AB8)</f>
        <v>148447.6992</v>
      </c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1:42" ht="21" customHeight="1">
      <c r="A9" s="113"/>
      <c r="B9" s="90">
        <v>1</v>
      </c>
      <c r="C9" s="91" t="s">
        <v>68</v>
      </c>
      <c r="D9" s="134">
        <v>78</v>
      </c>
      <c r="E9" s="135"/>
      <c r="F9" s="136">
        <v>0</v>
      </c>
      <c r="G9" s="137"/>
      <c r="H9" s="118" t="s">
        <v>70</v>
      </c>
      <c r="I9" s="138" t="s">
        <v>71</v>
      </c>
      <c r="J9" s="139"/>
      <c r="K9" s="140">
        <v>3.6</v>
      </c>
      <c r="L9" s="140">
        <v>9.5</v>
      </c>
      <c r="M9" s="140">
        <v>1</v>
      </c>
      <c r="N9" s="141" t="s">
        <v>77</v>
      </c>
      <c r="O9" s="142"/>
      <c r="P9" s="146">
        <v>38</v>
      </c>
      <c r="Q9" s="125">
        <f>IF(P9&gt;0,(P9*K9),"")</f>
        <v>136.8</v>
      </c>
      <c r="R9" s="125">
        <f>IF(N9&lt;&gt;"",Q9*DATI!$E$13-S9,"0,00")</f>
        <v>116.28</v>
      </c>
      <c r="S9" s="143">
        <v>0</v>
      </c>
      <c r="T9" s="126">
        <f>IF(OR(R9&gt;0,S9&gt;0),(R9+S9*0.6),"")</f>
        <v>116.28</v>
      </c>
      <c r="U9" s="144" t="str">
        <f>IF($A$5&gt;0," ",IF(AND(N9="A",F9&gt;0),(9687.52)*F9,IF(AND($A$5=0,C9="S",N9="A",F9=1),9687.52," ")))</f>
        <v> </v>
      </c>
      <c r="V9" s="128" t="str">
        <f>IF(AND(N9="A",F9&gt;=0,C9="s",$A$5&gt;0),9687.52*F9+114.01*Q9," ")</f>
        <v> </v>
      </c>
      <c r="W9" s="145" t="str">
        <f>IF(AND(OR(N9="B",N9="C"),$A$5=0,$C$5="N"),116.25*Q9+'DATI (2)'!$E$4*Q9,IF(AND(OR(N9="B",N9="C"),$A$5=0,$C$5="S"),114.01*Q9+'DATI (2)'!$E$4*Q9," "))</f>
        <v> </v>
      </c>
      <c r="X9" s="128" t="str">
        <f>IF(AND(OR(N9="B",N9="C"),C9="s",$A$5&gt;0),114.01*1.3*Q9+1.3*'DATI (2)'!$E$4*Q9," ")</f>
        <v> </v>
      </c>
      <c r="Y9" s="128">
        <f>IF(N9="E",IF(M9=1,'DATI (2)'!$E$7*T9,IF(M9=2,'DATI (2)'!$E$8*T9,IF(M9=3,'DATI (2)'!$E$9*T9)))*B9," ")</f>
        <v>148447.6992</v>
      </c>
      <c r="Z9" s="130"/>
      <c r="AA9" s="131">
        <f>IF(Z9="X",'DATI (2)'!$E$5*P9*L9,"")</f>
      </c>
      <c r="AB9" s="132">
        <f>IF(G9="X",-SUM(U9:Y9)*'DATI (2)'!$E$15,"")</f>
      </c>
      <c r="AC9" s="133">
        <f>SUM(U9:AB9)</f>
        <v>148447.6992</v>
      </c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ht="19.5" customHeight="1">
      <c r="A10" s="113"/>
      <c r="B10" s="90">
        <v>1</v>
      </c>
      <c r="C10" s="91" t="s">
        <v>68</v>
      </c>
      <c r="D10" s="134"/>
      <c r="E10" s="135"/>
      <c r="F10" s="136"/>
      <c r="G10" s="137"/>
      <c r="H10" s="118"/>
      <c r="I10" s="138"/>
      <c r="J10" s="139"/>
      <c r="K10" s="140"/>
      <c r="L10" s="140"/>
      <c r="M10" s="140"/>
      <c r="N10" s="141"/>
      <c r="O10" s="142"/>
      <c r="P10" s="146"/>
      <c r="Q10" s="149"/>
      <c r="R10" s="149"/>
      <c r="S10" s="143"/>
      <c r="T10" s="150"/>
      <c r="U10" s="144" t="str">
        <f>IF($A$5&gt;0," ",IF(AND(N10="A",F10&gt;0),(9687.52)*F10,IF(AND($A$5=0,C10="S",N10="A",F10=1),9687.52," ")))</f>
        <v> </v>
      </c>
      <c r="V10" s="128" t="str">
        <f>IF(AND(N10="A",F10&gt;=0,C10="s",$A$5&gt;0),9687.52*F10+114.01*Q10," ")</f>
        <v> </v>
      </c>
      <c r="W10" s="145" t="str">
        <f>IF(AND(OR(N10="B",N10="C"),$A$5=0,$C$5="N"),116.25*Q10+'DATI (2)'!$E$4*Q10,IF(AND(OR(N10="B",N10="C"),$A$5=0,$C$5="S"),114.01*Q10+'DATI (2)'!$E$4*Q10," "))</f>
        <v> </v>
      </c>
      <c r="X10" s="128" t="str">
        <f>IF(AND(OR(N10="B",N10="C"),C10="s",$A$5&gt;0),114.01*1.3*Q10+1.3*'DATI (2)'!$E$4*Q10," ")</f>
        <v> </v>
      </c>
      <c r="Y10" s="128" t="str">
        <f>IF(N10="E",IF(M10=1,'DATI (2)'!$E$7*T10,IF(M10=2,'DATI (2)'!$E$8*T10,IF(M10=3,'DATI (2)'!$E$9*T10)))*B10," ")</f>
        <v> </v>
      </c>
      <c r="Z10" s="130"/>
      <c r="AA10" s="131">
        <f>IF(Z10="X",'DATI (2)'!$E$5*P10*L10,"")</f>
      </c>
      <c r="AB10" s="132">
        <f>IF(G10="X",-SUM(U10:Y10)*'DATI (2)'!$E$15,"")</f>
      </c>
      <c r="AC10" s="133">
        <f>SUM(U10:AB10)</f>
        <v>0</v>
      </c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ht="18" customHeight="1">
      <c r="A11" s="113"/>
      <c r="B11" s="90">
        <v>1</v>
      </c>
      <c r="C11" s="91" t="s">
        <v>68</v>
      </c>
      <c r="D11" s="134"/>
      <c r="E11" s="135"/>
      <c r="F11" s="136"/>
      <c r="G11" s="137"/>
      <c r="H11" s="147"/>
      <c r="I11" s="119"/>
      <c r="J11" s="148"/>
      <c r="K11" s="140"/>
      <c r="L11" s="140"/>
      <c r="M11" s="140"/>
      <c r="N11" s="141"/>
      <c r="O11" s="142"/>
      <c r="P11" s="146"/>
      <c r="Q11" s="149"/>
      <c r="R11" s="149"/>
      <c r="S11" s="143"/>
      <c r="T11" s="150"/>
      <c r="U11" s="144" t="str">
        <f>IF($A$5&gt;0," ",IF(AND(N11="A",F11&gt;0),(9687.52)*F11,IF(AND($A$5=0,C11="S",N11="A",F11=1),9687.52," ")))</f>
        <v> </v>
      </c>
      <c r="V11" s="128" t="str">
        <f>IF(AND(N11="A",F11&gt;=0,C11="s",$A$5&gt;0),9687.52*F11+114.01*Q11," ")</f>
        <v> </v>
      </c>
      <c r="W11" s="145" t="str">
        <f>IF(AND(OR(N11="B",N11="C"),$A$5=0,$C$5="N"),116.25*Q11+'DATI (2)'!$E$4*Q11,IF(AND(OR(N11="B",N11="C"),$A$5=0,$C$5="S"),114.01*Q11+'DATI (2)'!$E$4*Q11," "))</f>
        <v> </v>
      </c>
      <c r="X11" s="128" t="str">
        <f>IF(AND(OR(N11="B",N11="C"),C11="s",$A$5&gt;0),114.01*1.3*Q11+1.3*'DATI (2)'!$E$4*Q11," ")</f>
        <v> </v>
      </c>
      <c r="Y11" s="128" t="str">
        <f>IF(N11="E",IF(M11=1,'DATI (2)'!$E$7*T11,IF(M11=2,'DATI (2)'!$E$8*T11,IF(M11=3,'DATI (2)'!$E$9*T11)))*B11," ")</f>
        <v> </v>
      </c>
      <c r="Z11" s="130"/>
      <c r="AA11" s="131">
        <f>IF(Z11="X",'DATI (2)'!$E$5*P11*L11,"")</f>
      </c>
      <c r="AB11" s="132">
        <f>IF(G11="X",-SUM(U11:Y11)*'DATI (2)'!$E$15,"")</f>
      </c>
      <c r="AC11" s="133">
        <f>SUM(U11:AB11)</f>
        <v>0</v>
      </c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ht="19.5" customHeight="1">
      <c r="A12" s="113"/>
      <c r="B12" s="90">
        <v>1</v>
      </c>
      <c r="C12" s="91" t="s">
        <v>68</v>
      </c>
      <c r="D12" s="134"/>
      <c r="E12" s="135"/>
      <c r="F12" s="136"/>
      <c r="G12" s="137"/>
      <c r="H12" s="118"/>
      <c r="I12" s="138"/>
      <c r="J12" s="148"/>
      <c r="K12" s="140"/>
      <c r="L12" s="140"/>
      <c r="M12" s="140"/>
      <c r="N12" s="141"/>
      <c r="O12" s="142"/>
      <c r="P12" s="143"/>
      <c r="Q12" s="149"/>
      <c r="R12" s="149"/>
      <c r="S12" s="143"/>
      <c r="T12" s="150"/>
      <c r="U12" s="144" t="str">
        <f>IF($A$5&gt;0," ",IF(AND(N12="A",F12&gt;0),(9687.52)*F12,IF(AND($A$5=0,C12="S",N12="A",F12=1),9687.52," ")))</f>
        <v> </v>
      </c>
      <c r="V12" s="128" t="str">
        <f>IF(AND(N12="A",F12&gt;=0,C12="s",$A$5&gt;0),9687.52*F12+114.01*Q12," ")</f>
        <v> </v>
      </c>
      <c r="W12" s="145" t="str">
        <f>IF(AND(OR(N12="B",N12="C"),$A$5=0,$C$5="N"),116.25*Q12+'DATI (2)'!$E$4*Q12,IF(AND(OR(N12="B",N12="C"),$A$5=0,$C$5="S"),114.01*Q12+'DATI (2)'!$E$4*Q12," "))</f>
        <v> </v>
      </c>
      <c r="X12" s="128" t="str">
        <f>IF(AND(OR(N12="B",N12="C"),C12="s",$A$5&gt;0),114.01*1.3*Q12+1.3*'DATI (2)'!$E$4*Q12," ")</f>
        <v> </v>
      </c>
      <c r="Y12" s="128" t="str">
        <f>IF(N12="E",IF(M12=1,'DATI (2)'!$E$7*T12,IF(M12=2,'DATI (2)'!$E$8*T12,IF(M12=3,'DATI (2)'!$E$9*T12)))*B12," ")</f>
        <v> </v>
      </c>
      <c r="Z12" s="130"/>
      <c r="AA12" s="131">
        <f>IF(Z12="X",'DATI (2)'!$E$5*P12*L12,"")</f>
      </c>
      <c r="AB12" s="132">
        <f>IF(G12="X",-SUM(U12:Y12)*'DATI (2)'!$E$15,"")</f>
      </c>
      <c r="AC12" s="133">
        <f>SUM(U12:AB12)</f>
        <v>0</v>
      </c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ht="19.5" customHeight="1">
      <c r="A13" s="113"/>
      <c r="B13" s="90">
        <v>1</v>
      </c>
      <c r="C13" s="91" t="s">
        <v>68</v>
      </c>
      <c r="D13" s="134"/>
      <c r="E13" s="135"/>
      <c r="F13" s="136"/>
      <c r="G13" s="137"/>
      <c r="H13" s="138"/>
      <c r="I13" s="138"/>
      <c r="J13" s="148"/>
      <c r="K13" s="140"/>
      <c r="L13" s="140"/>
      <c r="M13" s="140"/>
      <c r="N13" s="141"/>
      <c r="O13" s="142"/>
      <c r="P13" s="146"/>
      <c r="Q13" s="149"/>
      <c r="R13" s="149"/>
      <c r="S13" s="143"/>
      <c r="T13" s="150"/>
      <c r="U13" s="144" t="str">
        <f>IF($A$5&gt;0," ",IF(AND(N13="A",F13&gt;0),(9687.52)*F13,IF(AND($A$5=0,C13="S",N13="A",F13=1),9687.52," ")))</f>
        <v> </v>
      </c>
      <c r="V13" s="128" t="str">
        <f>IF(AND(N13="A",F13&gt;=0,C13="s",$A$5&gt;0),9687.52*F13+114.01*Q13," ")</f>
        <v> </v>
      </c>
      <c r="W13" s="145" t="str">
        <f>IF(AND(OR(N13="B",N13="C"),$A$5=0,$C$5="N"),116.25*Q13+'DATI (2)'!$E$4*Q13,IF(AND(OR(N13="B",N13="C"),$A$5=0,$C$5="S"),114.01*Q13+'DATI (2)'!$E$4*Q13," "))</f>
        <v> </v>
      </c>
      <c r="X13" s="128" t="str">
        <f>IF(AND(OR(N13="B",N13="C"),C13="s",$A$5&gt;0),114.01*1.3*Q13+1.3*'DATI (2)'!$E$4*Q13," ")</f>
        <v> </v>
      </c>
      <c r="Y13" s="128" t="str">
        <f>IF(N13="E",IF(M13=1,'DATI (2)'!$E$7*T13,IF(M13=2,'DATI (2)'!$E$8*T13,IF(M13=3,'DATI (2)'!$E$9*T13)))*B13," ")</f>
        <v> </v>
      </c>
      <c r="Z13" s="130"/>
      <c r="AA13" s="131">
        <f>IF(Z13="X",'DATI (2)'!$E$5*P13*L13,"")</f>
      </c>
      <c r="AB13" s="132">
        <f>IF(G13="X",-SUM(U13:Y13)*'DATI (2)'!$E$15,"")</f>
      </c>
      <c r="AC13" s="133">
        <f>SUM(U13:AB13)</f>
        <v>0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ht="12.75">
      <c r="A14" s="113"/>
      <c r="B14" s="90">
        <v>1</v>
      </c>
      <c r="C14" s="91" t="s">
        <v>68</v>
      </c>
      <c r="D14" s="134"/>
      <c r="E14" s="135"/>
      <c r="F14" s="136"/>
      <c r="G14" s="137"/>
      <c r="H14" s="147"/>
      <c r="I14" s="119"/>
      <c r="J14" s="148"/>
      <c r="K14" s="140"/>
      <c r="L14" s="140"/>
      <c r="M14" s="140"/>
      <c r="N14" s="141"/>
      <c r="O14" s="142"/>
      <c r="P14" s="146"/>
      <c r="Q14" s="149"/>
      <c r="R14" s="149"/>
      <c r="S14" s="143"/>
      <c r="T14" s="150"/>
      <c r="U14" s="144" t="str">
        <f>IF($A$5&gt;0," ",IF(AND(N14="A",F14&gt;0),(9687.52)*F14,IF(AND($A$5=0,C14="S",N14="A",F14=1),9687.52," ")))</f>
        <v> </v>
      </c>
      <c r="V14" s="128" t="str">
        <f>IF(AND(N14="A",F14&gt;=0,C14="s",$A$5&gt;0),9687.52*F14+114.01*Q14," ")</f>
        <v> </v>
      </c>
      <c r="W14" s="145" t="str">
        <f>IF(AND(OR(N14="B",N14="C"),$A$5=0,$C$5="N"),116.25*Q14+'DATI (2)'!$E$4*Q14,IF(AND(OR(N14="B",N14="C"),$A$5=0,$C$5="S"),114.01*Q14+'DATI (2)'!$E$4*Q14," "))</f>
        <v> </v>
      </c>
      <c r="X14" s="128" t="str">
        <f>IF(AND(OR(N14="B",N14="C"),C14="s",$A$5&gt;0),114.01*1.3*Q14+1.3*'DATI (2)'!$E$4*Q14," ")</f>
        <v> </v>
      </c>
      <c r="Y14" s="128" t="str">
        <f>IF(N14="E",IF(M14=1,'DATI (2)'!$E$7*T14,IF(M14=2,'DATI (2)'!$E$8*T14,IF(M14=3,'DATI (2)'!$E$9*T14)))*B14," ")</f>
        <v> </v>
      </c>
      <c r="Z14" s="130"/>
      <c r="AA14" s="131">
        <f>IF(Z14="X",'DATI (2)'!$E$5*P14*L14,"")</f>
      </c>
      <c r="AB14" s="132">
        <f>IF(G14="X",-SUM(U14:Y14)*'DATI (2)'!$E$15,"")</f>
      </c>
      <c r="AC14" s="133">
        <f>SUM(U14:AB14)</f>
        <v>0</v>
      </c>
      <c r="AD14" s="71"/>
      <c r="AE14" s="71"/>
      <c r="AF14" s="151"/>
      <c r="AG14" s="151"/>
      <c r="AH14" s="151"/>
      <c r="AI14" s="151"/>
      <c r="AJ14" s="151"/>
      <c r="AK14" s="151"/>
      <c r="AL14" s="151"/>
      <c r="AM14" s="71"/>
      <c r="AN14" s="71"/>
      <c r="AO14" s="71"/>
      <c r="AP14" s="71"/>
    </row>
    <row r="15" spans="1:42" ht="21.75" customHeight="1">
      <c r="A15" s="113"/>
      <c r="B15" s="90">
        <v>1</v>
      </c>
      <c r="C15" s="91" t="s">
        <v>68</v>
      </c>
      <c r="D15" s="134"/>
      <c r="E15" s="135"/>
      <c r="F15" s="136"/>
      <c r="G15" s="137"/>
      <c r="H15" s="138"/>
      <c r="I15" s="138"/>
      <c r="J15" s="139"/>
      <c r="K15" s="140"/>
      <c r="L15" s="140"/>
      <c r="M15" s="140"/>
      <c r="N15" s="141"/>
      <c r="O15" s="142"/>
      <c r="P15" s="146"/>
      <c r="Q15" s="149"/>
      <c r="R15" s="149"/>
      <c r="S15" s="143"/>
      <c r="T15" s="150"/>
      <c r="U15" s="144" t="str">
        <f>IF($A$5&gt;0," ",IF(AND(N15="A",F15&gt;0),(9687.52)*F15,IF(AND($A$5=0,C15="S",N15="A",F15=1),9687.52," ")))</f>
        <v> </v>
      </c>
      <c r="V15" s="128" t="str">
        <f>IF(AND(N15="A",F15&gt;=0,C15="s",$A$5&gt;0),9687.52*F15+114.01*Q15," ")</f>
        <v> </v>
      </c>
      <c r="W15" s="145" t="str">
        <f>IF(AND(OR(N15="B",N15="C"),$A$5=0,$C$5="N"),116.25*Q15+'DATI (2)'!$E$4*Q15,IF(AND(OR(N15="B",N15="C"),$A$5=0,$C$5="S"),114.01*Q15+'DATI (2)'!$E$4*Q15," "))</f>
        <v> </v>
      </c>
      <c r="X15" s="128" t="str">
        <f>IF(AND(OR(N15="B",N15="C"),C15="s",$A$5&gt;0),114.01*1.3*Q15+1.3*'DATI (2)'!$E$4*Q15," ")</f>
        <v> </v>
      </c>
      <c r="Y15" s="128" t="str">
        <f>IF(N15="E",IF(M15=1,'DATI (2)'!$E$7*T15,IF(M15=2,'DATI (2)'!$E$8*T15,IF(M15=3,'DATI (2)'!$E$9*T15)))*B15," ")</f>
        <v> </v>
      </c>
      <c r="Z15" s="130"/>
      <c r="AA15" s="131">
        <f>IF(Z15="X",'DATI (2)'!$E$5*P15*L15,"")</f>
      </c>
      <c r="AB15" s="132">
        <f>IF(G15="X",-SUM(U15:Y15)*'DATI (2)'!$E$15,"")</f>
      </c>
      <c r="AC15" s="133">
        <f>SUM(U15:AB15)</f>
        <v>0</v>
      </c>
      <c r="AD15" s="71"/>
      <c r="AE15" s="71"/>
      <c r="AF15" s="151"/>
      <c r="AG15" s="151"/>
      <c r="AH15" s="151"/>
      <c r="AI15" s="151"/>
      <c r="AJ15" s="151"/>
      <c r="AK15" s="151"/>
      <c r="AL15" s="151"/>
      <c r="AM15" s="71"/>
      <c r="AN15" s="71"/>
      <c r="AO15" s="71"/>
      <c r="AP15" s="71"/>
    </row>
    <row r="16" spans="1:42" ht="19.5" customHeight="1">
      <c r="A16" s="113"/>
      <c r="B16" s="90">
        <v>1</v>
      </c>
      <c r="C16" s="91" t="s">
        <v>68</v>
      </c>
      <c r="D16" s="134"/>
      <c r="E16" s="135"/>
      <c r="F16" s="136"/>
      <c r="G16" s="137"/>
      <c r="H16" s="118"/>
      <c r="I16" s="119"/>
      <c r="J16" s="139"/>
      <c r="K16" s="140"/>
      <c r="L16" s="140"/>
      <c r="M16" s="140"/>
      <c r="N16" s="141"/>
      <c r="O16" s="142"/>
      <c r="P16" s="146"/>
      <c r="Q16" s="149"/>
      <c r="R16" s="149"/>
      <c r="S16" s="124"/>
      <c r="T16" s="150"/>
      <c r="U16" s="144" t="str">
        <f>IF($A$5&gt;0," ",IF(AND(N16="A",F16&gt;0),(9687.52)*F16,IF(AND($A$5=0,C16="S",N16="A",F16=1),9687.52," ")))</f>
        <v> </v>
      </c>
      <c r="V16" s="128" t="str">
        <f>IF(AND(N16="A",F16&gt;=0,C16="s",$A$5&gt;0),9687.52*F16+114.01*Q16," ")</f>
        <v> </v>
      </c>
      <c r="W16" s="145" t="str">
        <f>IF(AND(OR(N16="B",N16="C"),$A$5=0,$C$5="N"),116.25*Q16+'DATI (2)'!$E$4*Q16,IF(AND(OR(N16="B",N16="C"),$A$5=0,$C$5="S"),114.01*Q16+'DATI (2)'!$E$4*Q16," "))</f>
        <v> </v>
      </c>
      <c r="X16" s="128" t="str">
        <f>IF(AND(OR(N16="B",N16="C"),C16="s",$A$5&gt;0),114.01*1.3*Q16+1.3*'DATI (2)'!$E$4*Q16," ")</f>
        <v> </v>
      </c>
      <c r="Y16" s="128" t="str">
        <f>IF(N16="E",IF(M16=1,'DATI (2)'!$E$7*T16,IF(M16=2,'DATI (2)'!$E$8*T16,IF(M16=3,'DATI (2)'!$E$9*T16)))*B16," ")</f>
        <v> </v>
      </c>
      <c r="Z16" s="130"/>
      <c r="AA16" s="131">
        <f>IF(Z16="X",'DATI (2)'!$E$5*P16*L16,"")</f>
      </c>
      <c r="AB16" s="132">
        <f>IF(G16="X",-SUM(U16:Y16)*'DATI (2)'!$E$15,"")</f>
      </c>
      <c r="AC16" s="133">
        <f>SUM(U16:AB16)</f>
        <v>0</v>
      </c>
      <c r="AD16" s="71"/>
      <c r="AE16" s="71"/>
      <c r="AF16" s="151"/>
      <c r="AG16" s="151"/>
      <c r="AH16" s="151"/>
      <c r="AI16" s="151"/>
      <c r="AJ16" s="151"/>
      <c r="AK16" s="151"/>
      <c r="AL16" s="151"/>
      <c r="AM16" s="71"/>
      <c r="AN16" s="71"/>
      <c r="AO16" s="71"/>
      <c r="AP16" s="71"/>
    </row>
    <row r="17" spans="1:42" ht="19.5" customHeight="1">
      <c r="A17" s="113"/>
      <c r="B17" s="113"/>
      <c r="C17" s="91"/>
      <c r="D17" s="152"/>
      <c r="E17" s="153"/>
      <c r="F17" s="136"/>
      <c r="G17" s="154"/>
      <c r="H17" s="155"/>
      <c r="I17" s="156"/>
      <c r="J17" s="140"/>
      <c r="K17" s="140"/>
      <c r="L17" s="140"/>
      <c r="M17" s="140"/>
      <c r="N17" s="141"/>
      <c r="O17" s="157"/>
      <c r="P17" s="146"/>
      <c r="Q17" s="149"/>
      <c r="R17" s="149"/>
      <c r="S17" s="143"/>
      <c r="T17" s="150"/>
      <c r="U17" s="144" t="str">
        <f>IF($A$5&gt;0," ",IF(AND(N17="A",F17&gt;0),(9687.52)*F17,IF(AND($A$5=0,C17="S",N17="A",F17=1),9687.52," ")))</f>
        <v> </v>
      </c>
      <c r="V17" s="128" t="str">
        <f>IF(AND(N17="A",F17&gt;=0,C17="s",$A$5&gt;0),9687.52*F17+114.01*Q17," ")</f>
        <v> </v>
      </c>
      <c r="W17" s="145" t="str">
        <f>IF(AND(OR(N17="B",N17="C"),$A$5=0,$C$5="N"),116.25*Q17+'DATI (2)'!$E$4*Q17,IF(AND(OR(N17="B",N17="C"),$A$5=0,$C$5="S"),114.01*Q17+'DATI (2)'!$E$4*Q17," "))</f>
        <v> </v>
      </c>
      <c r="X17" s="128" t="str">
        <f>IF(AND(OR(N17="B",N17="C"),C17="s",$A$5&gt;0),114.01*1.3*Q17+1.3*'DATI (2)'!$E$4*Q17," ")</f>
        <v> </v>
      </c>
      <c r="Y17" s="128" t="str">
        <f>IF(N17="E",IF(M17=1,'DATI (2)'!$E$7*T17,IF(M17=2,'DATI (2)'!$E$8*T17,IF(M17=3,'DATI (2)'!$E$9*T17)))*B17," ")</f>
        <v> </v>
      </c>
      <c r="Z17" s="130"/>
      <c r="AA17" s="131">
        <f>IF(Z17="X",'DATI (2)'!$E$5*P17*L17,"")</f>
      </c>
      <c r="AB17" s="132">
        <f>IF(G17="X",-SUM(U17:Y17)*'DATI (2)'!$E$15,"")</f>
      </c>
      <c r="AC17" s="133">
        <f>SUM(U17:AB17)</f>
        <v>0</v>
      </c>
      <c r="AD17" s="71"/>
      <c r="AE17" s="71"/>
      <c r="AF17" s="151"/>
      <c r="AG17" s="151"/>
      <c r="AH17" s="151"/>
      <c r="AI17" s="151"/>
      <c r="AJ17" s="151"/>
      <c r="AK17" s="151"/>
      <c r="AL17" s="151"/>
      <c r="AM17" s="71"/>
      <c r="AN17" s="71"/>
      <c r="AO17" s="71"/>
      <c r="AP17" s="71"/>
    </row>
    <row r="18" spans="1:42" ht="19.5" customHeight="1">
      <c r="A18" s="113"/>
      <c r="B18" s="113"/>
      <c r="C18" s="91"/>
      <c r="D18" s="152"/>
      <c r="E18" s="156"/>
      <c r="F18" s="136"/>
      <c r="G18" s="154"/>
      <c r="H18" s="155"/>
      <c r="I18" s="156"/>
      <c r="J18" s="140"/>
      <c r="K18" s="140"/>
      <c r="L18" s="140"/>
      <c r="M18" s="140"/>
      <c r="N18" s="141"/>
      <c r="O18" s="158"/>
      <c r="P18" s="146"/>
      <c r="Q18" s="149"/>
      <c r="R18" s="149"/>
      <c r="S18" s="143"/>
      <c r="T18" s="150"/>
      <c r="U18" s="144" t="str">
        <f>IF($A$5&gt;0," ",IF(AND(N18="A",F18&gt;0),(9687.52)*F18,IF(AND($A$5=0,C18="S",N18="A",F18=1),9687.52," ")))</f>
        <v> </v>
      </c>
      <c r="V18" s="128" t="str">
        <f>IF(AND(N18="A",F18&gt;=0,C18="s",$A$5&gt;0),9687.52*F18+114.01*Q18," ")</f>
        <v> </v>
      </c>
      <c r="W18" s="145" t="str">
        <f>IF(AND(OR(N18="B",N18="C"),$A$5=0,$C$5="N"),116.25*Q18+'DATI (2)'!$E$4*Q18,IF(AND(OR(N18="B",N18="C"),$A$5=0,$C$5="S"),114.01*Q18+'DATI (2)'!$E$4*Q18," "))</f>
        <v> </v>
      </c>
      <c r="X18" s="128" t="str">
        <f>IF(AND(OR(N18="B",N18="C"),C18="s",$A$5&gt;0),114.01*1.3*Q18+1.3*'DATI (2)'!$E$4*Q18," ")</f>
        <v> </v>
      </c>
      <c r="Y18" s="128" t="str">
        <f>IF(N18="E",IF(M18=1,'DATI (2)'!$E$7*T18,IF(M18=2,'DATI (2)'!$E$8*T18,IF(M18=3,'DATI (2)'!$E$9*T18)))*B18," ")</f>
        <v> </v>
      </c>
      <c r="Z18" s="130"/>
      <c r="AA18" s="131">
        <f>IF(Z18="X",'DATI (2)'!$E$5*P18*L18,"")</f>
      </c>
      <c r="AB18" s="132">
        <f>IF(G18="X",-SUM(U18:Y18)*'DATI (2)'!$E$15,"")</f>
      </c>
      <c r="AC18" s="133">
        <f>SUM(U18:AB18)</f>
        <v>0</v>
      </c>
      <c r="AD18" s="71"/>
      <c r="AE18" s="71"/>
      <c r="AF18" s="151"/>
      <c r="AG18" s="151"/>
      <c r="AH18" s="159"/>
      <c r="AI18" s="151"/>
      <c r="AJ18" s="151"/>
      <c r="AK18" s="151"/>
      <c r="AL18" s="151"/>
      <c r="AM18" s="71"/>
      <c r="AN18" s="71"/>
      <c r="AO18" s="71"/>
      <c r="AP18" s="71"/>
    </row>
    <row r="19" spans="1:43" ht="19.5" customHeight="1">
      <c r="A19" s="113"/>
      <c r="B19" s="113"/>
      <c r="C19" s="91"/>
      <c r="D19" s="160"/>
      <c r="E19" s="161"/>
      <c r="F19" s="162"/>
      <c r="G19" s="163"/>
      <c r="H19" s="163"/>
      <c r="I19" s="161"/>
      <c r="J19" s="164"/>
      <c r="K19" s="164"/>
      <c r="L19" s="164"/>
      <c r="M19" s="164"/>
      <c r="N19" s="165"/>
      <c r="O19" s="166"/>
      <c r="P19" s="167"/>
      <c r="Q19" s="168">
        <f>IF(P19&gt;0,(P19*K19),"")</f>
      </c>
      <c r="R19" s="168"/>
      <c r="S19" s="167"/>
      <c r="T19" s="169">
        <f>IF(OR(R19&gt;0,S19&gt;0),(R19+S19*0.6)*DATI!$E$14,"")</f>
      </c>
      <c r="U19" s="170" t="str">
        <f>IF($A$5&gt;0," ",IF(AND(N19="A",F19&gt;0),(9687.52)*F19,IF(AND($A$5=0,C19="S",N19="A",F19=1),9687.52," ")))</f>
        <v> </v>
      </c>
      <c r="V19" s="171" t="str">
        <f>IF(AND(N19="A",F19&gt;=0,C19="s",$A$5&gt;0),9687.52*F19+114.01*Q19," ")</f>
        <v> </v>
      </c>
      <c r="W19" s="172" t="str">
        <f>IF(AND(OR(N19="B",N19="C"),$A$5=0,$C$5="N"),116.25*Q19+'DATI (2)'!$E$4*Q19,IF(AND(OR(N19="B",N19="C"),$A$5=0,$C$5="S"),114.01*Q19+'DATI (2)'!$E$4*Q19," "))</f>
        <v> </v>
      </c>
      <c r="X19" s="171" t="str">
        <f>IF(AND(OR(N19="B",N19="C"),C19="s",$A$5&gt;0),114.01*1.3*Q19+1.3*'DATI (2)'!$E$4*Q19," ")</f>
        <v> </v>
      </c>
      <c r="Y19" s="171" t="str">
        <f>IF(N19="E",IF(M19=1,'DATI (2)'!$E$7*T19,IF(M19=2,'DATI (2)'!$E$8*T19,IF(M19=3,'DATI (2)'!$E$9*T19)))*B19," ")</f>
        <v> </v>
      </c>
      <c r="Z19" s="173"/>
      <c r="AA19" s="174">
        <f>IF(Z19="X",'DATI (2)'!$E$5*P19*L19,"")</f>
      </c>
      <c r="AB19" s="175">
        <f>IF(G19="X",-SUM(U19:Y19)*'DATI (2)'!$E$15,"")</f>
      </c>
      <c r="AC19" s="176">
        <f>SUM(U19:AB19)</f>
        <v>0</v>
      </c>
      <c r="AD19" s="71"/>
      <c r="AE19" s="71"/>
      <c r="AF19" s="151"/>
      <c r="AG19" s="151"/>
      <c r="AH19" s="151"/>
      <c r="AI19" s="151"/>
      <c r="AJ19" s="151"/>
      <c r="AN19" s="69"/>
      <c r="AO19" s="177"/>
      <c r="AP19" s="69"/>
      <c r="AQ19" s="69"/>
    </row>
    <row r="20" spans="1:43" ht="26.25" customHeight="1">
      <c r="A20" s="113"/>
      <c r="B20" s="113"/>
      <c r="C20" s="91"/>
      <c r="D20" s="178"/>
      <c r="E20" s="179"/>
      <c r="F20" s="179"/>
      <c r="G20" s="179"/>
      <c r="H20" s="179"/>
      <c r="I20" s="179"/>
      <c r="J20" s="179" t="s">
        <v>78</v>
      </c>
      <c r="K20" s="179"/>
      <c r="L20" s="179"/>
      <c r="M20" s="179"/>
      <c r="N20" s="179"/>
      <c r="O20" s="179"/>
      <c r="P20" s="180">
        <f>SUM(P5:P19)</f>
        <v>211</v>
      </c>
      <c r="Q20" s="180">
        <f>SUM(Q5:Q19)</f>
        <v>503.6</v>
      </c>
      <c r="R20" s="179" t="s">
        <v>79</v>
      </c>
      <c r="S20" s="179"/>
      <c r="T20" s="180">
        <f>SUM(T5:T19)</f>
        <v>409.36</v>
      </c>
      <c r="U20" s="181">
        <f>SUM(U5:U19)</f>
        <v>0</v>
      </c>
      <c r="V20" s="181">
        <f>SUM(V5:V19)</f>
        <v>0</v>
      </c>
      <c r="W20" s="181">
        <f>SUM(W5:W19)</f>
        <v>0</v>
      </c>
      <c r="X20" s="181">
        <f>SUM(X5:X19)</f>
        <v>0</v>
      </c>
      <c r="Y20" s="181">
        <f>SUM(Y5:Y19)</f>
        <v>522605.35040000005</v>
      </c>
      <c r="Z20" s="181"/>
      <c r="AA20" s="181">
        <f>SUM(AA5:AA19)</f>
        <v>0</v>
      </c>
      <c r="AB20" s="182">
        <f>SUM(AB5:AB19)</f>
        <v>0</v>
      </c>
      <c r="AC20" s="183">
        <f>SUM(AC5:AC19)</f>
        <v>522605.35040000005</v>
      </c>
      <c r="AD20" s="71"/>
      <c r="AE20" s="71"/>
      <c r="AF20" s="151"/>
      <c r="AG20" s="151"/>
      <c r="AH20" s="151"/>
      <c r="AI20" s="151"/>
      <c r="AJ20" s="151"/>
      <c r="AN20" s="69"/>
      <c r="AO20" s="177"/>
      <c r="AP20" s="69"/>
      <c r="AQ20" s="69"/>
    </row>
    <row r="21" spans="4:43" ht="29.25" customHeight="1">
      <c r="D21" s="184"/>
      <c r="E21" s="185"/>
      <c r="F21" s="185"/>
      <c r="G21" s="186"/>
      <c r="H21" s="187" t="s">
        <v>80</v>
      </c>
      <c r="I21" s="188"/>
      <c r="J21" s="189"/>
      <c r="K21" s="189"/>
      <c r="L21" s="188"/>
      <c r="M21" s="188"/>
      <c r="N21" s="190">
        <f>AN42/Q20</f>
        <v>0</v>
      </c>
      <c r="O21" s="185"/>
      <c r="P21" s="187" t="s">
        <v>81</v>
      </c>
      <c r="Q21" s="191"/>
      <c r="R21" s="192"/>
      <c r="S21" s="192"/>
      <c r="T21" s="190">
        <f>(Q20-AN41-AK45)/Q20</f>
        <v>0.8907863383637807</v>
      </c>
      <c r="U21" s="193"/>
      <c r="V21" s="187" t="s">
        <v>82</v>
      </c>
      <c r="W21" s="189"/>
      <c r="X21" s="194"/>
      <c r="Y21" s="190">
        <f>SUM(S5:S19)/DATI!$E$14/Q20</f>
        <v>0.10921366163621922</v>
      </c>
      <c r="Z21" s="193"/>
      <c r="AA21" s="193"/>
      <c r="AB21" s="193"/>
      <c r="AC21" s="195"/>
      <c r="AD21" s="196"/>
      <c r="AE21" s="196"/>
      <c r="AF21" s="197"/>
      <c r="AG21" s="197"/>
      <c r="AH21" s="197"/>
      <c r="AI21" s="197"/>
      <c r="AJ21" s="197"/>
      <c r="AN21" s="69"/>
      <c r="AO21" s="177"/>
      <c r="AP21" s="198"/>
      <c r="AQ21" s="69"/>
    </row>
    <row r="22" spans="1:42" ht="19.5" customHeight="1">
      <c r="A22" s="113"/>
      <c r="B22" s="113"/>
      <c r="P22" s="68"/>
      <c r="Q22" s="68"/>
      <c r="R22" s="68"/>
      <c r="S22" s="68"/>
      <c r="AF22" s="151"/>
      <c r="AG22" s="151"/>
      <c r="AH22" s="151"/>
      <c r="AI22" s="151"/>
      <c r="AJ22" s="151"/>
      <c r="AK22" s="151"/>
      <c r="AL22" s="151"/>
      <c r="AM22" s="71"/>
      <c r="AN22" s="71"/>
      <c r="AO22" s="71"/>
      <c r="AP22" s="71"/>
    </row>
    <row r="23" spans="1:42" ht="19.5" customHeight="1">
      <c r="A23" s="113"/>
      <c r="B23" s="113"/>
      <c r="AF23" s="151"/>
      <c r="AG23" s="151"/>
      <c r="AH23" s="151"/>
      <c r="AI23" s="151"/>
      <c r="AJ23" s="151"/>
      <c r="AK23" s="151"/>
      <c r="AL23" s="151"/>
      <c r="AM23" s="71"/>
      <c r="AN23" s="71"/>
      <c r="AO23" s="71"/>
      <c r="AP23" s="71"/>
    </row>
    <row r="24" spans="1:67" ht="28.5" customHeight="1">
      <c r="A24" s="113"/>
      <c r="B24" s="113"/>
      <c r="D24" s="199" t="s">
        <v>83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 t="s">
        <v>84</v>
      </c>
      <c r="Z24" s="199"/>
      <c r="AA24" s="199"/>
      <c r="AB24" s="199"/>
      <c r="AC24" s="199"/>
      <c r="AF24" s="151"/>
      <c r="AG24" s="151"/>
      <c r="AH24" s="200" t="s">
        <v>85</v>
      </c>
      <c r="AI24" s="201" t="s">
        <v>86</v>
      </c>
      <c r="AJ24" s="201"/>
      <c r="AK24" s="201"/>
      <c r="AL24" s="202" t="s">
        <v>87</v>
      </c>
      <c r="AM24" s="202"/>
      <c r="AQ24" s="203" t="s">
        <v>85</v>
      </c>
      <c r="AR24" s="203"/>
      <c r="AS24" s="203" t="s">
        <v>88</v>
      </c>
      <c r="AT24" s="203"/>
      <c r="AV24" s="204" t="s">
        <v>89</v>
      </c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</row>
    <row r="25" spans="4:75" ht="75" customHeight="1">
      <c r="D25" s="205" t="s">
        <v>43</v>
      </c>
      <c r="E25" s="206" t="s">
        <v>45</v>
      </c>
      <c r="F25" s="207" t="s">
        <v>90</v>
      </c>
      <c r="G25" s="208" t="s">
        <v>91</v>
      </c>
      <c r="H25" s="209" t="s">
        <v>67</v>
      </c>
      <c r="I25" s="209"/>
      <c r="J25" s="209"/>
      <c r="K25" s="210" t="s">
        <v>92</v>
      </c>
      <c r="L25" s="210"/>
      <c r="M25" s="211" t="s">
        <v>93</v>
      </c>
      <c r="N25" s="211"/>
      <c r="O25" s="212" t="s">
        <v>94</v>
      </c>
      <c r="P25" s="210" t="s">
        <v>95</v>
      </c>
      <c r="Q25" s="213" t="s">
        <v>96</v>
      </c>
      <c r="R25" s="214" t="s">
        <v>97</v>
      </c>
      <c r="S25" s="215" t="s">
        <v>98</v>
      </c>
      <c r="T25" s="212" t="s">
        <v>99</v>
      </c>
      <c r="U25" s="216" t="s">
        <v>100</v>
      </c>
      <c r="V25" s="215" t="s">
        <v>101</v>
      </c>
      <c r="W25" s="212" t="s">
        <v>102</v>
      </c>
      <c r="X25" s="216" t="s">
        <v>103</v>
      </c>
      <c r="Y25" s="211" t="s">
        <v>104</v>
      </c>
      <c r="Z25" s="217" t="s">
        <v>105</v>
      </c>
      <c r="AA25" s="217"/>
      <c r="AB25" s="218" t="s">
        <v>106</v>
      </c>
      <c r="AC25" s="218"/>
      <c r="AF25" s="151"/>
      <c r="AG25" s="151"/>
      <c r="AH25" s="219" t="s">
        <v>77</v>
      </c>
      <c r="AI25" s="219" t="s">
        <v>77</v>
      </c>
      <c r="AJ25" s="219" t="s">
        <v>107</v>
      </c>
      <c r="AK25" s="219" t="s">
        <v>72</v>
      </c>
      <c r="AL25" s="219" t="s">
        <v>72</v>
      </c>
      <c r="AM25" s="219" t="s">
        <v>72</v>
      </c>
      <c r="AN25" s="219" t="s">
        <v>108</v>
      </c>
      <c r="AQ25" s="220" t="s">
        <v>109</v>
      </c>
      <c r="AR25" s="220" t="s">
        <v>110</v>
      </c>
      <c r="AS25" s="221" t="s">
        <v>71</v>
      </c>
      <c r="AT25" s="221" t="s">
        <v>75</v>
      </c>
      <c r="AV25" s="220" t="s">
        <v>111</v>
      </c>
      <c r="AW25" s="220"/>
      <c r="AX25" s="220" t="s">
        <v>112</v>
      </c>
      <c r="AY25" s="220"/>
      <c r="AZ25" s="220" t="s">
        <v>110</v>
      </c>
      <c r="BA25" s="220"/>
      <c r="BC25" s="220" t="s">
        <v>113</v>
      </c>
      <c r="BD25" s="220"/>
      <c r="BE25" s="220" t="s">
        <v>114</v>
      </c>
      <c r="BF25" s="220"/>
      <c r="BG25" s="220" t="s">
        <v>115</v>
      </c>
      <c r="BH25" s="220"/>
      <c r="BJ25" s="220" t="s">
        <v>116</v>
      </c>
      <c r="BK25" s="220"/>
      <c r="BL25" s="220" t="s">
        <v>117</v>
      </c>
      <c r="BM25" s="220"/>
      <c r="BN25" s="220" t="s">
        <v>118</v>
      </c>
      <c r="BQ25" s="68" t="s">
        <v>119</v>
      </c>
      <c r="BR25" s="68" t="s">
        <v>120</v>
      </c>
      <c r="BS25" s="68" t="s">
        <v>121</v>
      </c>
      <c r="BT25" s="68" t="s">
        <v>122</v>
      </c>
      <c r="BU25" s="68" t="s">
        <v>123</v>
      </c>
      <c r="BW25" s="222" t="s">
        <v>124</v>
      </c>
    </row>
    <row r="26" spans="4:75" ht="19.5" customHeight="1">
      <c r="D26" s="223">
        <f>D5</f>
        <v>23</v>
      </c>
      <c r="E26" s="224">
        <f>F5</f>
        <v>0</v>
      </c>
      <c r="F26" s="225" t="str">
        <f>N5</f>
        <v>E</v>
      </c>
      <c r="G26" s="226">
        <f>Q5</f>
        <v>110</v>
      </c>
      <c r="H26" s="227">
        <f>AC5</f>
        <v>119365.84000000001</v>
      </c>
      <c r="I26" s="227"/>
      <c r="J26" s="227"/>
      <c r="K26" s="228">
        <f>(H26)*0.1</f>
        <v>11936.584000000003</v>
      </c>
      <c r="L26" s="228"/>
      <c r="M26" s="229">
        <f>IF($C$5="s",IF(SUM($H$41)&lt;=1000000,SUM(H26)*0.02,SUM(H26)*0.01),0)</f>
        <v>2387.3168</v>
      </c>
      <c r="N26" s="229"/>
      <c r="O26" s="230">
        <f>(M26*(0.04))</f>
        <v>95.492672</v>
      </c>
      <c r="P26" s="231">
        <f>(M26+O26)*0.22</f>
        <v>546.21808384</v>
      </c>
      <c r="Q26" s="232">
        <f>IF(F26="E",G26*12,0)</f>
        <v>1320</v>
      </c>
      <c r="R26" s="233">
        <f>BW26*0.22</f>
        <v>290.40000000000003</v>
      </c>
      <c r="S26" s="234">
        <f>IF(F26="E",H26*1.5%,0)</f>
        <v>1790.4876000000002</v>
      </c>
      <c r="T26" s="235">
        <f>S26*0.02</f>
        <v>35.809752</v>
      </c>
      <c r="U26" s="236">
        <f>(S26+T26)*0.22</f>
        <v>401.78541744</v>
      </c>
      <c r="V26" s="232">
        <f>H26*0.15</f>
        <v>17904.876</v>
      </c>
      <c r="W26" s="230">
        <f>V26*0.04</f>
        <v>716.1950400000001</v>
      </c>
      <c r="X26" s="237">
        <f>0.22*(W26+V26)</f>
        <v>4096.6356288</v>
      </c>
      <c r="Y26" s="238">
        <f>SUM(K26:X26)-Q26+BW26</f>
        <v>41521.80099408</v>
      </c>
      <c r="Z26" s="239">
        <f>Y26+H26</f>
        <v>160887.64099408</v>
      </c>
      <c r="AA26" s="239"/>
      <c r="AB26" s="240">
        <f>SUM(Z26:AA40)</f>
        <v>704717.4245704447</v>
      </c>
      <c r="AC26" s="240"/>
      <c r="AF26" s="151"/>
      <c r="AG26" s="151"/>
      <c r="AH26" s="241">
        <f>IF($N5="E",$T5,0)</f>
        <v>93.5</v>
      </c>
      <c r="AI26" s="241">
        <f>IF(OR($F26="E",$F26="E"),$G26,0)</f>
        <v>110</v>
      </c>
      <c r="AJ26" s="241">
        <f>IF(OR($F26="B",$F26="C"),$G26,0)</f>
        <v>0</v>
      </c>
      <c r="AK26" s="241">
        <f>IF($F26="A",$G26,0)</f>
        <v>0</v>
      </c>
      <c r="AL26" s="241">
        <f>IF($N5="A",$F5,0)</f>
        <v>0</v>
      </c>
      <c r="AM26" s="241">
        <f>IF(AND($F26="A",$F5&gt;0),$G26,0)</f>
        <v>0</v>
      </c>
      <c r="AN26" s="241">
        <f>IF($F5&gt;0,$G26,0)</f>
        <v>0</v>
      </c>
      <c r="AQ26" s="242">
        <f>IF($N5="E",$R5/'DATI (2)'!$E$13,0)</f>
        <v>110</v>
      </c>
      <c r="AR26" s="242">
        <f>IF($N5="E",$S5/'DATI (2)'!$E$14,0)</f>
        <v>0</v>
      </c>
      <c r="AS26" s="243">
        <f>($R5)/'DATI (2)'!$E$13</f>
        <v>110</v>
      </c>
      <c r="AT26" s="243">
        <f>$S5/'DATI (2)'!$E$14</f>
        <v>0</v>
      </c>
      <c r="AV26" s="242">
        <f>IF(AND($F26="E",$F5&gt;0),$R5/'DATI (2)'!$E$13,0)</f>
        <v>0</v>
      </c>
      <c r="AW26" s="244">
        <f>IF(AND($F26="E",$F5&gt;0),$Z26,0)</f>
        <v>0</v>
      </c>
      <c r="AX26" s="242">
        <f>IF(AND($F26="E",$F5=0),$R5/'DATI (2)'!$E$13,0)</f>
        <v>110</v>
      </c>
      <c r="AY26" s="244">
        <f>IF(AND($F26="E",$F5=0,R5&gt;0),$Z26*$BT26,0)</f>
        <v>160887.64099408</v>
      </c>
      <c r="AZ26" s="242">
        <f>IF(AND($F26="E"),$S5/'DATI (2)'!$E$13,0)</f>
        <v>0</v>
      </c>
      <c r="BA26" s="244">
        <f>IF(AND($F26="E",$S5&gt;0),$Z26*$BU26,0)</f>
        <v>0</v>
      </c>
      <c r="BC26" s="242">
        <f>IF(AND(OR($F26="B",$F26="C"),$F5&gt;0),$R5/'DATI (2)'!$E$13,0)</f>
        <v>0</v>
      </c>
      <c r="BD26" s="244">
        <f>IF(AND(AND(OR($F26="B",$F26="C")),$F5&gt;0),$Z26,0)</f>
        <v>0</v>
      </c>
      <c r="BE26" s="242">
        <f>IF(AND(OR($F26="B",$F26="C"),$F5=0),$R5/'DATI (2)'!$E$13,0)</f>
        <v>0</v>
      </c>
      <c r="BF26" s="244">
        <f>IF(AND((OR($F26="B",$F26="C")),$F5=0,R5&gt;0),$Z26*$BT26,0)</f>
        <v>0</v>
      </c>
      <c r="BG26" s="242">
        <f>IF(AND(OR($F26="B",$F26="C")),$S5/'DATI (2)'!$E$13,0)</f>
        <v>0</v>
      </c>
      <c r="BH26" s="244">
        <f>IF(AND((OR($F26="B",$F26="C")),$S5&gt;0),$Z26*$BU26,0)</f>
        <v>0</v>
      </c>
      <c r="BJ26" s="242">
        <f>IF(AND($F26="A",$F5&gt;0),$R5/'DATI (2)'!$E$13,0)</f>
        <v>0</v>
      </c>
      <c r="BK26" s="244">
        <f>IF(AND($F26="a",$F5&gt;0),$Z26,0)</f>
        <v>0</v>
      </c>
      <c r="BL26" s="242">
        <f>IF(AND($F26="A",$F5=0),$R5/'DATI (2)'!$E$13,0)</f>
        <v>0</v>
      </c>
      <c r="BM26" s="244">
        <f>IF(AND($F26="a",$F5=0,R5&gt;0),$Z26*$BT26,0)</f>
        <v>0</v>
      </c>
      <c r="BN26" s="242">
        <f>IF(AND($F26="A"),$S5/'DATI (2)'!$E$13,0)</f>
        <v>0</v>
      </c>
      <c r="BO26" s="244">
        <f>IF(AND($F26="a",$S5&gt;0),$Z26*$BU26,0)</f>
        <v>0</v>
      </c>
      <c r="BQ26" s="245">
        <f>Q5</f>
        <v>110</v>
      </c>
      <c r="BR26" s="245">
        <f>R5/'DATI (2)'!$E$13</f>
        <v>110</v>
      </c>
      <c r="BS26" s="245">
        <f>S5/'DATI (2)'!$E$14</f>
        <v>0</v>
      </c>
      <c r="BT26" s="245">
        <f>BR26/BQ26</f>
        <v>1</v>
      </c>
      <c r="BU26" s="245">
        <f>BS26/BQ26</f>
        <v>0</v>
      </c>
      <c r="BW26" s="68">
        <f>IF(F26="E",$Q$41*G26/$AI$41,0)</f>
        <v>1320.0000000000002</v>
      </c>
    </row>
    <row r="27" spans="4:75" ht="19.5" customHeight="1">
      <c r="D27" s="246">
        <f>D6</f>
        <v>23</v>
      </c>
      <c r="E27" s="247">
        <f>F6</f>
        <v>0</v>
      </c>
      <c r="F27" s="248" t="str">
        <f>N6</f>
        <v>E</v>
      </c>
      <c r="G27" s="249">
        <f>Q6</f>
        <v>55</v>
      </c>
      <c r="H27" s="250">
        <f>AC6</f>
        <v>35809.752</v>
      </c>
      <c r="I27" s="250"/>
      <c r="J27" s="250"/>
      <c r="K27" s="251">
        <f>(H27)*0.1</f>
        <v>3580.9752000000003</v>
      </c>
      <c r="L27" s="251"/>
      <c r="M27" s="252">
        <f>IF($C$5="s",IF(SUM($H$41)&lt;=1000000,SUM(H27)*0.02,SUM(H27)*0.01),0)</f>
        <v>716.1950400000001</v>
      </c>
      <c r="N27" s="252"/>
      <c r="O27" s="253">
        <f>(M27*(0.04))</f>
        <v>28.647801600000005</v>
      </c>
      <c r="P27" s="254">
        <f>(M27+O27)*0.22</f>
        <v>163.865425152</v>
      </c>
      <c r="Q27" s="255">
        <f>IF(F27="E",G27*12,0)</f>
        <v>660</v>
      </c>
      <c r="R27" s="256">
        <f>BW27*0.22</f>
        <v>145.20000000000002</v>
      </c>
      <c r="S27" s="257">
        <f>IF(F27="E",H27*1.5%,0)</f>
        <v>537.1462799999999</v>
      </c>
      <c r="T27" s="258">
        <f>S27*0.02</f>
        <v>10.7429256</v>
      </c>
      <c r="U27" s="259">
        <f>(S27+T27)*0.22</f>
        <v>120.53562523199999</v>
      </c>
      <c r="V27" s="255">
        <f>H27*0.15</f>
        <v>5371.4628</v>
      </c>
      <c r="W27" s="253">
        <f>V27*0.04</f>
        <v>214.85851200000002</v>
      </c>
      <c r="X27" s="260">
        <f>0.22*(W27+V27)</f>
        <v>1228.99068864</v>
      </c>
      <c r="Y27" s="261">
        <f>SUM(K27:X27)-Q27+BW27</f>
        <v>12778.620298224001</v>
      </c>
      <c r="Z27" s="262">
        <f>Y27+H27</f>
        <v>48588.372298224</v>
      </c>
      <c r="AA27" s="262"/>
      <c r="AB27" s="240"/>
      <c r="AC27" s="240"/>
      <c r="AF27" s="151"/>
      <c r="AG27" s="151"/>
      <c r="AH27" s="241">
        <f>IF($N6="E",$T6,0)</f>
        <v>28.05</v>
      </c>
      <c r="AI27" s="241">
        <f>IF(OR($F27="E",$F27="E"),$G27,0)</f>
        <v>55</v>
      </c>
      <c r="AJ27" s="241">
        <f>IF(OR($F27="B",$F27="C"),$G27,0)</f>
        <v>0</v>
      </c>
      <c r="AK27" s="241">
        <f>IF($F27="A",$G27,0)</f>
        <v>0</v>
      </c>
      <c r="AL27" s="241">
        <f>IF($N6="A",$F6,0)</f>
        <v>0</v>
      </c>
      <c r="AM27" s="241">
        <f>IF(AND($F27="A",$F6&gt;0),$G27,0)</f>
        <v>0</v>
      </c>
      <c r="AN27" s="241">
        <f>IF($F6&gt;0,$G27,0)</f>
        <v>0</v>
      </c>
      <c r="AQ27" s="242">
        <f>IF($N6="E",$R6/'DATI (2)'!$E$13,0)</f>
        <v>0</v>
      </c>
      <c r="AR27" s="242">
        <f>IF($N6="E",$S6/'DATI (2)'!$E$14,0)</f>
        <v>55</v>
      </c>
      <c r="AS27" s="243">
        <f>($R6)/'DATI (2)'!$E$13</f>
        <v>0</v>
      </c>
      <c r="AT27" s="243">
        <f>$S6/'DATI (2)'!$E$14</f>
        <v>55</v>
      </c>
      <c r="AV27" s="242">
        <f>IF(AND($F27="E",$F6&gt;0),$R6/'DATI (2)'!$E$13,0)</f>
        <v>0</v>
      </c>
      <c r="AW27" s="244">
        <f>IF(AND($F27="E",$F6&gt;0),$Z27,0)</f>
        <v>0</v>
      </c>
      <c r="AX27" s="242">
        <f>IF(AND($F27="E",$F6=0),$R6/'DATI (2)'!$E$13,0)</f>
        <v>0</v>
      </c>
      <c r="AY27" s="244">
        <f>IF(AND($F27="E",$F6=0,R6&gt;0),$Z27*$BT27,0)</f>
        <v>0</v>
      </c>
      <c r="AZ27" s="242">
        <f>IF(AND($F27="E"),$S6/'DATI (2)'!$E$13,0)</f>
        <v>55</v>
      </c>
      <c r="BA27" s="244">
        <f>IF(AND($F27="E",$S6&gt;0),$Z27*$BU27,0)</f>
        <v>48588.372298224</v>
      </c>
      <c r="BC27" s="242">
        <f>IF(AND(OR($F27="B",$F27="C"),$F6&gt;0),$R6/'DATI (2)'!$E$13,0)</f>
        <v>0</v>
      </c>
      <c r="BD27" s="244">
        <f>IF(AND(AND(OR($F27="B",$F27="C")),$F6&gt;0),$Z27,0)</f>
        <v>0</v>
      </c>
      <c r="BE27" s="242">
        <f>IF(AND(OR($F27="B",$F27="C"),$F6=0),$R6/'DATI (2)'!$E$13,0)</f>
        <v>0</v>
      </c>
      <c r="BF27" s="244">
        <f>IF(AND((OR($F27="B",$F27="C")),$F6=0,R6&gt;0),$Z27*$BT27,0)</f>
        <v>0</v>
      </c>
      <c r="BG27" s="242">
        <f>IF(AND(OR($F27="B",$F27="C")),$S6/'DATI (2)'!$E$13,0)</f>
        <v>0</v>
      </c>
      <c r="BH27" s="244">
        <f>IF(AND((OR($F27="B",$F27="C")),$S6&gt;0),$Z27*$BU27,0)</f>
        <v>0</v>
      </c>
      <c r="BJ27" s="242">
        <f>IF(AND($F27="A",$F6&gt;0),$R6/'DATI (2)'!$E$13,0)</f>
        <v>0</v>
      </c>
      <c r="BK27" s="244">
        <f>IF(AND($F27="a",$F6&gt;0),$Z27,0)</f>
        <v>0</v>
      </c>
      <c r="BL27" s="242">
        <f>IF(AND($F27="A",$F6=0),$R6/'DATI (2)'!$E$13,0)</f>
        <v>0</v>
      </c>
      <c r="BM27" s="244">
        <f>IF(AND($F27="a",$F6=0,R6&gt;0),$Z27*$BT27,0)</f>
        <v>0</v>
      </c>
      <c r="BN27" s="242">
        <f>IF(AND($F27="A"),$S6/'DATI (2)'!$E$13,0)</f>
        <v>0</v>
      </c>
      <c r="BO27" s="244">
        <f>IF(AND($F27="a",$S6&gt;0),$Z27*$BU27,0)</f>
        <v>0</v>
      </c>
      <c r="BQ27" s="245">
        <f>Q6</f>
        <v>55</v>
      </c>
      <c r="BR27" s="245">
        <f>R6/'DATI (2)'!$E$13</f>
        <v>0</v>
      </c>
      <c r="BS27" s="245">
        <f>S6/'DATI (2)'!$E$14</f>
        <v>55</v>
      </c>
      <c r="BT27" s="245">
        <f>BR27/BQ27</f>
        <v>0</v>
      </c>
      <c r="BU27" s="245">
        <f>BS27/BQ27</f>
        <v>1</v>
      </c>
      <c r="BW27" s="68">
        <f>IF(F27="E",$Q$41*G27/$AI$41,0)</f>
        <v>660.0000000000001</v>
      </c>
    </row>
    <row r="28" spans="4:75" ht="19.5" customHeight="1">
      <c r="D28" s="246">
        <f>D7</f>
        <v>24</v>
      </c>
      <c r="E28" s="247">
        <f>F7</f>
        <v>0</v>
      </c>
      <c r="F28" s="248" t="str">
        <f>N7</f>
        <v>E</v>
      </c>
      <c r="G28" s="249">
        <f>Q7</f>
        <v>65</v>
      </c>
      <c r="H28" s="250">
        <f>AC7</f>
        <v>70534.36</v>
      </c>
      <c r="I28" s="250"/>
      <c r="J28" s="250"/>
      <c r="K28" s="251">
        <f>(H28)*0.1</f>
        <v>7053.436000000001</v>
      </c>
      <c r="L28" s="251"/>
      <c r="M28" s="252">
        <f>IF($C$5="s",IF(SUM($H$41)&lt;=1000000,SUM(H28)*0.02,SUM(H28)*0.01),0)</f>
        <v>1410.6872</v>
      </c>
      <c r="N28" s="252"/>
      <c r="O28" s="253">
        <f>(M28*(0.04))</f>
        <v>56.427488000000004</v>
      </c>
      <c r="P28" s="254">
        <f>(M28+O28)*0.22</f>
        <v>322.76523136000003</v>
      </c>
      <c r="Q28" s="255">
        <f>IF(F28="E",G28*12,0)</f>
        <v>780</v>
      </c>
      <c r="R28" s="256">
        <f>BW28*0.22</f>
        <v>171.60000000000002</v>
      </c>
      <c r="S28" s="257">
        <f>IF(F28="E",H28*1.5%,0)</f>
        <v>1058.0154</v>
      </c>
      <c r="T28" s="258">
        <f>S28*0.02</f>
        <v>21.160308</v>
      </c>
      <c r="U28" s="259">
        <f>(S28+T28)*0.22</f>
        <v>237.41865576</v>
      </c>
      <c r="V28" s="255">
        <f>H28*0.15</f>
        <v>10580.154</v>
      </c>
      <c r="W28" s="253">
        <f>V28*0.04</f>
        <v>423.20616</v>
      </c>
      <c r="X28" s="260">
        <f>0.22*(W28+V28)</f>
        <v>2420.7392352</v>
      </c>
      <c r="Y28" s="261">
        <f>SUM(K28:X28)-Q28+BW28</f>
        <v>24535.60967832</v>
      </c>
      <c r="Z28" s="262">
        <f>Y28+H28</f>
        <v>95069.96967832</v>
      </c>
      <c r="AA28" s="262"/>
      <c r="AB28" s="240"/>
      <c r="AC28" s="240"/>
      <c r="AF28" s="151"/>
      <c r="AG28" s="151"/>
      <c r="AH28" s="241">
        <f>IF($N7="E",$T7,0)</f>
        <v>55.25</v>
      </c>
      <c r="AI28" s="241">
        <f>IF(OR($F28="E",$F28="E"),$G28,0)</f>
        <v>65</v>
      </c>
      <c r="AJ28" s="241">
        <f>IF(OR($F28="B",$F28="C"),$G28,0)</f>
        <v>0</v>
      </c>
      <c r="AK28" s="241">
        <f>IF($F28="A",$G28,0)</f>
        <v>0</v>
      </c>
      <c r="AL28" s="241">
        <f>IF($N7="A",$F7,0)</f>
        <v>0</v>
      </c>
      <c r="AM28" s="241">
        <f>IF(AND($F28="A",$F7&gt;0),$G28,0)</f>
        <v>0</v>
      </c>
      <c r="AN28" s="241">
        <f>IF($F7&gt;0,$G28,0)</f>
        <v>0</v>
      </c>
      <c r="AQ28" s="242">
        <f>IF($N7="E",$R7/'DATI (2)'!$E$13,0)</f>
        <v>65</v>
      </c>
      <c r="AR28" s="242">
        <f>IF($N7="E",$S7/'DATI (2)'!$E$14,0)</f>
        <v>0</v>
      </c>
      <c r="AS28" s="243">
        <f>($R7)/'DATI (2)'!$E$13</f>
        <v>65</v>
      </c>
      <c r="AT28" s="243">
        <f>$S7/'DATI (2)'!$E$14</f>
        <v>0</v>
      </c>
      <c r="AV28" s="242">
        <f>IF(AND($F28="E",$F7&gt;0),$R7/'DATI (2)'!$E$13,0)</f>
        <v>0</v>
      </c>
      <c r="AW28" s="244">
        <f>IF(AND($F28="E",$F7&gt;0),$Z28,0)</f>
        <v>0</v>
      </c>
      <c r="AX28" s="242">
        <f>IF(AND($F28="E",$F7=0),$R7/'DATI (2)'!$E$13,0)</f>
        <v>65</v>
      </c>
      <c r="AY28" s="244">
        <f>IF(AND($F28="E",$F7=0,R7&gt;0),$Z28*$BT28,0)</f>
        <v>95069.96967832</v>
      </c>
      <c r="AZ28" s="242">
        <f>IF(AND($F28="E"),$S7/'DATI (2)'!$E$13,0)</f>
        <v>0</v>
      </c>
      <c r="BA28" s="244">
        <f>IF(AND($F28="E",$S7&gt;0),$Z28*$BU28,0)</f>
        <v>0</v>
      </c>
      <c r="BC28" s="242">
        <f>IF(AND(OR($F28="B",$F28="C"),$F7&gt;0),$R7/'DATI (2)'!$E$13,0)</f>
        <v>0</v>
      </c>
      <c r="BD28" s="244">
        <f>IF(AND(AND(OR($F28="B",$F28="C")),$F7&gt;0),$Z28,0)</f>
        <v>0</v>
      </c>
      <c r="BE28" s="242">
        <f>IF(AND(OR($F28="B",$F28="C"),$F7=0),$R7/'DATI (2)'!$E$13,0)</f>
        <v>0</v>
      </c>
      <c r="BF28" s="244">
        <f>IF(AND((OR($F28="B",$F28="C")),$F7=0,R7&gt;0),$Z28*$BT28,0)</f>
        <v>0</v>
      </c>
      <c r="BG28" s="242">
        <f>IF(AND(OR($F28="B",$F28="C")),$S7/'DATI (2)'!$E$13,0)</f>
        <v>0</v>
      </c>
      <c r="BH28" s="244">
        <f>IF(AND((OR($F28="B",$F28="C")),$S7&gt;0),$Z28*$BU28,0)</f>
        <v>0</v>
      </c>
      <c r="BJ28" s="242">
        <f>IF(AND($F28="A",$F7&gt;0),$R7/'DATI (2)'!$E$13,0)</f>
        <v>0</v>
      </c>
      <c r="BK28" s="244">
        <f>IF(AND($F28="a",$F7&gt;0),$Z28,0)</f>
        <v>0</v>
      </c>
      <c r="BL28" s="242">
        <f>IF(AND($F28="A",$F7=0),$R7/'DATI (2)'!$E$13,0)</f>
        <v>0</v>
      </c>
      <c r="BM28" s="244">
        <f>IF(AND($F28="a",$F7=0,R7&gt;0),$Z28*$BT28,0)</f>
        <v>0</v>
      </c>
      <c r="BN28" s="242">
        <f>IF(AND($F28="A"),$S7/'DATI (2)'!$E$13,0)</f>
        <v>0</v>
      </c>
      <c r="BO28" s="244">
        <f>IF(AND($F28="a",$S7&gt;0),$Z28*$BU28,0)</f>
        <v>0</v>
      </c>
      <c r="BQ28" s="245">
        <f>Q7</f>
        <v>65</v>
      </c>
      <c r="BR28" s="245">
        <f>R7/'DATI (2)'!$E$13</f>
        <v>65</v>
      </c>
      <c r="BS28" s="245">
        <f>S7/'DATI (2)'!$E$14</f>
        <v>0</v>
      </c>
      <c r="BT28" s="245">
        <f>BR28/BQ28</f>
        <v>1</v>
      </c>
      <c r="BU28" s="245">
        <f>BS28/BQ28</f>
        <v>0</v>
      </c>
      <c r="BW28" s="263">
        <f>IF(F28="E",$Q$41*G28/$AI$41,0)</f>
        <v>780.0000000000001</v>
      </c>
    </row>
    <row r="29" spans="4:75" ht="19.5" customHeight="1">
      <c r="D29" s="246">
        <f>D8</f>
        <v>25</v>
      </c>
      <c r="E29" s="247">
        <f>F8</f>
        <v>0</v>
      </c>
      <c r="F29" s="248" t="str">
        <f>N8</f>
        <v>E</v>
      </c>
      <c r="G29" s="249">
        <f>Q8</f>
        <v>136.8</v>
      </c>
      <c r="H29" s="250">
        <f>AC8</f>
        <v>148447.6992</v>
      </c>
      <c r="I29" s="250"/>
      <c r="J29" s="250"/>
      <c r="K29" s="251">
        <f>(H29)*0.1</f>
        <v>14844.76992</v>
      </c>
      <c r="L29" s="251"/>
      <c r="M29" s="252">
        <f>IF($C$5="s",IF(SUM($H$41)&lt;=1000000,SUM(H29)*0.02,SUM(H29)*0.01),0)</f>
        <v>2968.953984</v>
      </c>
      <c r="N29" s="252"/>
      <c r="O29" s="253">
        <f>(M29*(0.04))</f>
        <v>118.75815936000001</v>
      </c>
      <c r="P29" s="254">
        <f>(M29+O29)*0.22</f>
        <v>679.2966715392</v>
      </c>
      <c r="Q29" s="255">
        <f>IF(F29="E",G29*12,0)</f>
        <v>1641.6000000000001</v>
      </c>
      <c r="R29" s="256">
        <f>BW29*0.22</f>
        <v>361.15200000000004</v>
      </c>
      <c r="S29" s="257">
        <f>IF(F29="E",H29*1.5%,0)</f>
        <v>2226.715488</v>
      </c>
      <c r="T29" s="258">
        <f>S29*0.02</f>
        <v>44.53430976</v>
      </c>
      <c r="U29" s="259">
        <f>(S29+T29)*0.22</f>
        <v>499.6749555071999</v>
      </c>
      <c r="V29" s="255">
        <f>H29*0.15</f>
        <v>22267.15488</v>
      </c>
      <c r="W29" s="253">
        <f>V29*0.04</f>
        <v>890.6861951999999</v>
      </c>
      <c r="X29" s="260">
        <f>0.22*(W29+V29)</f>
        <v>5094.7250365439995</v>
      </c>
      <c r="Y29" s="261">
        <f>SUM(K29:X29)-Q29+BW29</f>
        <v>51638.0215999104</v>
      </c>
      <c r="Z29" s="262">
        <f>Y29+H29</f>
        <v>200085.7207999104</v>
      </c>
      <c r="AA29" s="262"/>
      <c r="AB29" s="240"/>
      <c r="AC29" s="240"/>
      <c r="AF29" s="151"/>
      <c r="AG29" s="151"/>
      <c r="AH29" s="241">
        <f>IF($N8="E",$T8,0)</f>
        <v>116.28</v>
      </c>
      <c r="AI29" s="241">
        <f>IF(OR($F29="E",$F29="E"),$G29,0)</f>
        <v>136.8</v>
      </c>
      <c r="AJ29" s="241">
        <f>IF(OR($F29="B",$F29="C"),$G29,0)</f>
        <v>0</v>
      </c>
      <c r="AK29" s="241">
        <f>IF($F29="A",$G29,0)</f>
        <v>0</v>
      </c>
      <c r="AL29" s="241">
        <f>IF($N8="A",$F8,0)</f>
        <v>0</v>
      </c>
      <c r="AM29" s="241">
        <f>IF(AND($F29="A",$F8&gt;0),$G29,0)</f>
        <v>0</v>
      </c>
      <c r="AN29" s="241">
        <f>IF($F8&gt;0,$G29,0)</f>
        <v>0</v>
      </c>
      <c r="AQ29" s="242">
        <f>IF($N8="E",$R8/'DATI (2)'!$E$13,0)</f>
        <v>136.8</v>
      </c>
      <c r="AR29" s="242">
        <f>IF($N8="E",$S8/'DATI (2)'!$E$14,0)</f>
        <v>0</v>
      </c>
      <c r="AS29" s="243">
        <f>($R8)/'DATI (2)'!$E$13</f>
        <v>136.8</v>
      </c>
      <c r="AT29" s="243">
        <f>$S8/'DATI (2)'!$E$14</f>
        <v>0</v>
      </c>
      <c r="AV29" s="242">
        <f>IF(AND($F29="E",$F8&gt;0),$R8/'DATI (2)'!$E$13,0)</f>
        <v>0</v>
      </c>
      <c r="AW29" s="244">
        <f>IF(AND($F29="E",$F8&gt;0),$Z29,0)</f>
        <v>0</v>
      </c>
      <c r="AX29" s="242">
        <f>IF(AND($F29="E",$F8=0),$R8/'DATI (2)'!$E$13,0)</f>
        <v>136.8</v>
      </c>
      <c r="AY29" s="244">
        <f>IF(AND($F29="E",$F8=0,R8&gt;0),$Z29*$BT29,0)</f>
        <v>200085.7207999104</v>
      </c>
      <c r="AZ29" s="242">
        <f>IF(AND($F29="E"),$S8/'DATI (2)'!$E$13,0)</f>
        <v>0</v>
      </c>
      <c r="BA29" s="244">
        <f>IF(AND($F29="E",$S8&gt;0),$Z29*$BU29,0)</f>
        <v>0</v>
      </c>
      <c r="BC29" s="242">
        <f>IF(AND(OR($F29="B",$F29="C"),$F8&gt;0),$R8/'DATI (2)'!$E$13,0)</f>
        <v>0</v>
      </c>
      <c r="BD29" s="244">
        <f>IF(AND(AND(OR($F29="B",$F29="C")),$F8&gt;0),$Z29,0)</f>
        <v>0</v>
      </c>
      <c r="BE29" s="242">
        <f>IF(AND(OR($F29="B",$F29="C"),$F8=0),$R8/'DATI (2)'!$E$13,0)</f>
        <v>0</v>
      </c>
      <c r="BF29" s="244">
        <f>IF(AND((OR($F29="B",$F29="C")),$F8=0,R8&gt;0),$Z29*$BT29,0)</f>
        <v>0</v>
      </c>
      <c r="BG29" s="242">
        <f>IF(AND(OR($F29="B",$F29="C")),$S8/'DATI (2)'!$E$13,0)</f>
        <v>0</v>
      </c>
      <c r="BH29" s="244">
        <f>IF(AND((OR($F29="B",$F29="C")),$S8&gt;0),$Z29*$BU29,0)</f>
        <v>0</v>
      </c>
      <c r="BJ29" s="242">
        <f>IF(AND($F29="A",$F8&gt;0),$R8/'DATI (2)'!$E$13,0)</f>
        <v>0</v>
      </c>
      <c r="BK29" s="244">
        <f>IF(AND($F29="a",$F8&gt;0),$Z29,0)</f>
        <v>0</v>
      </c>
      <c r="BL29" s="242">
        <f>IF(AND($F29="A",$F8=0),$R8/'DATI (2)'!$E$13,0)</f>
        <v>0</v>
      </c>
      <c r="BM29" s="244">
        <f>IF(AND($F29="a",$F8=0,R8&gt;0),$Z29*$BT29,0)</f>
        <v>0</v>
      </c>
      <c r="BN29" s="242">
        <f>IF(AND($F29="A"),$S8/'DATI (2)'!$E$13,0)</f>
        <v>0</v>
      </c>
      <c r="BO29" s="244">
        <f>IF(AND($F29="a",$S8&gt;0),$Z29*$BU29,0)</f>
        <v>0</v>
      </c>
      <c r="BQ29" s="245">
        <f>Q8</f>
        <v>136.8</v>
      </c>
      <c r="BR29" s="245">
        <f>R8/'DATI (2)'!$E$13</f>
        <v>136.8</v>
      </c>
      <c r="BS29" s="245">
        <f>S8/'DATI (2)'!$E$14</f>
        <v>0</v>
      </c>
      <c r="BT29" s="245">
        <f>BR29/BQ29</f>
        <v>1</v>
      </c>
      <c r="BU29" s="245">
        <f>BS29/BQ29</f>
        <v>0</v>
      </c>
      <c r="BW29" s="263">
        <f>IF(F29="E",$Q$41*G29/$AI$41,0)</f>
        <v>1641.6000000000001</v>
      </c>
    </row>
    <row r="30" spans="4:75" ht="19.5" customHeight="1">
      <c r="D30" s="246">
        <f>D9</f>
        <v>78</v>
      </c>
      <c r="E30" s="247">
        <f>F9</f>
        <v>0</v>
      </c>
      <c r="F30" s="248" t="str">
        <f>N9</f>
        <v>E</v>
      </c>
      <c r="G30" s="249">
        <f>Q9</f>
        <v>136.8</v>
      </c>
      <c r="H30" s="250">
        <f>AC9</f>
        <v>148447.6992</v>
      </c>
      <c r="I30" s="250"/>
      <c r="J30" s="250"/>
      <c r="K30" s="251">
        <f>(H30)*0.1</f>
        <v>14844.76992</v>
      </c>
      <c r="L30" s="251"/>
      <c r="M30" s="252">
        <f>IF($C$5="s",IF(SUM($H$41)&lt;=1000000,SUM(H30)*0.02,SUM(H30)*0.01),0)</f>
        <v>2968.953984</v>
      </c>
      <c r="N30" s="252"/>
      <c r="O30" s="253">
        <f>(M30*(0.04))</f>
        <v>118.75815936000001</v>
      </c>
      <c r="P30" s="254">
        <f>(M30+O30)*0.22</f>
        <v>679.2966715392</v>
      </c>
      <c r="Q30" s="255">
        <f>IF(F30="E",G30*12,0)</f>
        <v>1641.6000000000001</v>
      </c>
      <c r="R30" s="256">
        <f>BW30*0.22</f>
        <v>361.15200000000004</v>
      </c>
      <c r="S30" s="257">
        <f>IF(F30="E",H30*1.5%,0)</f>
        <v>2226.715488</v>
      </c>
      <c r="T30" s="258">
        <f>S30*0.02</f>
        <v>44.53430976</v>
      </c>
      <c r="U30" s="259">
        <f>(S30+T30)*0.22</f>
        <v>499.6749555071999</v>
      </c>
      <c r="V30" s="255">
        <f>H30*0.15</f>
        <v>22267.15488</v>
      </c>
      <c r="W30" s="253">
        <f>V30*0.04</f>
        <v>890.6861951999999</v>
      </c>
      <c r="X30" s="260">
        <f>0.22*(W30+V30)</f>
        <v>5094.7250365439995</v>
      </c>
      <c r="Y30" s="261">
        <f>SUM(K30:X30)-Q30+BW30</f>
        <v>51638.0215999104</v>
      </c>
      <c r="Z30" s="262">
        <f>Y30+H30</f>
        <v>200085.7207999104</v>
      </c>
      <c r="AA30" s="262"/>
      <c r="AB30" s="240"/>
      <c r="AC30" s="240"/>
      <c r="AF30" s="151"/>
      <c r="AG30" s="151"/>
      <c r="AH30" s="241">
        <f>IF($N9="E",$T9,0)</f>
        <v>116.28</v>
      </c>
      <c r="AI30" s="241">
        <f>IF(OR($F30="E",$F30="E"),$G30,0)</f>
        <v>136.8</v>
      </c>
      <c r="AJ30" s="241">
        <f>IF(OR($F30="B",$F30="C"),$G30,0)</f>
        <v>0</v>
      </c>
      <c r="AK30" s="241">
        <f>IF($F30="A",$G30,0)</f>
        <v>0</v>
      </c>
      <c r="AL30" s="241">
        <f>IF($N9="A",$F9,0)</f>
        <v>0</v>
      </c>
      <c r="AM30" s="241">
        <f>IF(AND($F30="A",$F9&gt;0),$G30,0)</f>
        <v>0</v>
      </c>
      <c r="AN30" s="241">
        <f>IF($F9&gt;0,$G30,0)</f>
        <v>0</v>
      </c>
      <c r="AQ30" s="242">
        <f>IF($N9="E",$R9/'DATI (2)'!$E$13,0)</f>
        <v>136.8</v>
      </c>
      <c r="AR30" s="242">
        <f>IF($N9="E",$S9/'DATI (2)'!$E$14,0)</f>
        <v>0</v>
      </c>
      <c r="AS30" s="243">
        <f>($R9)/'DATI (2)'!$E$13</f>
        <v>136.8</v>
      </c>
      <c r="AT30" s="243">
        <f>$S9/'DATI (2)'!$E$14</f>
        <v>0</v>
      </c>
      <c r="AV30" s="242">
        <f>IF(AND($F30="E",$F9&gt;0),$R9/'DATI (2)'!$E$13,0)</f>
        <v>0</v>
      </c>
      <c r="AW30" s="244">
        <f>IF(AND($F30="E",$F9&gt;0),$Z30,0)</f>
        <v>0</v>
      </c>
      <c r="AX30" s="242">
        <f>IF(AND($F30="E",$F9=0),$R9/'DATI (2)'!$E$13,0)</f>
        <v>136.8</v>
      </c>
      <c r="AY30" s="244">
        <f>IF(AND($F30="E",$F9=0,R9&gt;0),$Z30*$BT30,0)</f>
        <v>200085.7207999104</v>
      </c>
      <c r="AZ30" s="242">
        <f>IF(AND($F30="E"),$S9/'DATI (2)'!$E$13,0)</f>
        <v>0</v>
      </c>
      <c r="BA30" s="244">
        <f>IF(AND($F30="E",$S9&gt;0),$Z30*$BU30,0)</f>
        <v>0</v>
      </c>
      <c r="BC30" s="242">
        <f>IF(AND(OR($F30="B",$F30="C"),$F9&gt;0),$R9/'DATI (2)'!$E$13,0)</f>
        <v>0</v>
      </c>
      <c r="BD30" s="244">
        <f>IF(AND(AND(OR($F30="B",$F30="C")),$F9&gt;0),$Z30,0)</f>
        <v>0</v>
      </c>
      <c r="BE30" s="242">
        <f>IF(AND(OR($F30="B",$F30="C"),$F9=0),$R9/'DATI (2)'!$E$13,0)</f>
        <v>0</v>
      </c>
      <c r="BF30" s="244">
        <f>IF(AND((OR($F30="B",$F30="C")),$F9=0,R9&gt;0),$Z30*$BT30,0)</f>
        <v>0</v>
      </c>
      <c r="BG30" s="242">
        <f>IF(AND(OR($F30="B",$F30="C")),$S9/'DATI (2)'!$E$13,0)</f>
        <v>0</v>
      </c>
      <c r="BH30" s="244">
        <f>IF(AND((OR($F30="B",$F30="C")),$S9&gt;0),$Z30*$BU30,0)</f>
        <v>0</v>
      </c>
      <c r="BJ30" s="242">
        <f>IF(AND($F30="A",$F9&gt;0),$R9/'DATI (2)'!$E$13,0)</f>
        <v>0</v>
      </c>
      <c r="BK30" s="244">
        <f>IF(AND($F30="a",$F9&gt;0),$Z30*BT30,0)</f>
        <v>0</v>
      </c>
      <c r="BL30" s="242">
        <f>IF(AND($F30="A",$F9=0),$R9/'DATI (2)'!$E$13,0)</f>
        <v>0</v>
      </c>
      <c r="BM30" s="244">
        <f>IF(AND($F30="a",$F9=0,R9&gt;0),$Z30*$BT30,0)</f>
        <v>0</v>
      </c>
      <c r="BN30" s="242">
        <f>IF(AND($F30="A"),$S9/'DATI (2)'!$E$13,0)</f>
        <v>0</v>
      </c>
      <c r="BO30" s="244">
        <f>IF(AND($F30="a",$S9&gt;0),$Z30*$BU30,0)</f>
        <v>0</v>
      </c>
      <c r="BQ30" s="245">
        <f>Q9</f>
        <v>136.8</v>
      </c>
      <c r="BR30" s="245">
        <f>R9/'DATI (2)'!$E$13</f>
        <v>136.8</v>
      </c>
      <c r="BS30" s="245">
        <f>S9/'DATI (2)'!$E$14</f>
        <v>0</v>
      </c>
      <c r="BT30" s="245">
        <f>BR30/BQ30</f>
        <v>1</v>
      </c>
      <c r="BU30" s="245">
        <f>BS30/BQ30</f>
        <v>0</v>
      </c>
      <c r="BW30" s="263">
        <f>IF(F30="E",$Q$41*G30/$AI$41,0)</f>
        <v>1641.6000000000001</v>
      </c>
    </row>
    <row r="31" spans="4:75" ht="19.5" customHeight="1">
      <c r="D31" s="246">
        <f>D10</f>
        <v>0</v>
      </c>
      <c r="E31" s="247">
        <f>F10</f>
        <v>0</v>
      </c>
      <c r="F31" s="248">
        <f>N10</f>
        <v>0</v>
      </c>
      <c r="G31" s="249">
        <f>Q10</f>
        <v>0</v>
      </c>
      <c r="H31" s="250">
        <f>AC10</f>
        <v>0</v>
      </c>
      <c r="I31" s="250"/>
      <c r="J31" s="250"/>
      <c r="K31" s="251">
        <f>(H31)*0.1</f>
        <v>0</v>
      </c>
      <c r="L31" s="251"/>
      <c r="M31" s="252">
        <f>IF($C$5="s",IF(SUM($H$41)&lt;=1000000,SUM(H31)*0.02,SUM(H31)*0.01),0)</f>
        <v>0</v>
      </c>
      <c r="N31" s="252"/>
      <c r="O31" s="253">
        <f>(M31*(0.04))</f>
        <v>0</v>
      </c>
      <c r="P31" s="254">
        <f>(M31+O31)*0.22</f>
        <v>0</v>
      </c>
      <c r="Q31" s="255">
        <f>IF(F31="E",G31*12,0)</f>
        <v>0</v>
      </c>
      <c r="R31" s="256">
        <f>BW31*0.22</f>
        <v>0</v>
      </c>
      <c r="S31" s="257">
        <f>IF(F31="E",H31*1.5%,0)</f>
        <v>0</v>
      </c>
      <c r="T31" s="258">
        <f>S31*0.02</f>
        <v>0</v>
      </c>
      <c r="U31" s="259">
        <f>(S31+T31)*0.22</f>
        <v>0</v>
      </c>
      <c r="V31" s="255">
        <f>H31*0.15</f>
        <v>0</v>
      </c>
      <c r="W31" s="253">
        <f>V31*0.04</f>
        <v>0</v>
      </c>
      <c r="X31" s="260">
        <f>0.22*(W31+V31)</f>
        <v>0</v>
      </c>
      <c r="Y31" s="261">
        <f>SUM(K31:X31)-Q31+BW31</f>
        <v>0</v>
      </c>
      <c r="Z31" s="262">
        <f>Y31+H31</f>
        <v>0</v>
      </c>
      <c r="AA31" s="262"/>
      <c r="AB31" s="240"/>
      <c r="AC31" s="240"/>
      <c r="AF31" s="151"/>
      <c r="AG31" s="151"/>
      <c r="AH31" s="241">
        <f>IF($N10="E",$T10,0)</f>
        <v>0</v>
      </c>
      <c r="AI31" s="241">
        <f>IF(OR($F31="E",$F31="E"),$G31,0)</f>
        <v>0</v>
      </c>
      <c r="AJ31" s="241">
        <f>IF(OR($F31="B",$F31="C"),$G31,0)</f>
        <v>0</v>
      </c>
      <c r="AK31" s="241">
        <f>IF($F31="A",$G31,0)</f>
        <v>0</v>
      </c>
      <c r="AL31" s="241">
        <f>IF($N10="A",$F10,0)</f>
        <v>0</v>
      </c>
      <c r="AM31" s="241">
        <f>IF(AND($F31="A",$F10&gt;0),$G31,0)</f>
        <v>0</v>
      </c>
      <c r="AN31" s="241">
        <f>IF($F10&gt;0,$G31,0)</f>
        <v>0</v>
      </c>
      <c r="AQ31" s="242">
        <f>IF($N10="E",$R10/'DATI (2)'!$E$13,0)</f>
        <v>0</v>
      </c>
      <c r="AR31" s="242">
        <f>IF($N10="E",$S10/'DATI (2)'!$E$14,0)</f>
        <v>0</v>
      </c>
      <c r="AS31" s="243">
        <f>($R10)/'DATI (2)'!$E$13</f>
        <v>0</v>
      </c>
      <c r="AT31" s="243">
        <f>$S10/'DATI (2)'!$E$14</f>
        <v>0</v>
      </c>
      <c r="AV31" s="242">
        <f>IF(AND($F31="E",$F10&gt;0),$R10/'DATI (2)'!$E$13,0)</f>
        <v>0</v>
      </c>
      <c r="AW31" s="244">
        <f>IF(AND($F31="E",$F10&gt;0),$Z31,0)</f>
        <v>0</v>
      </c>
      <c r="AX31" s="242">
        <f>IF(AND($F31="E",$F10=0),$R10/'DATI (2)'!$E$13,0)</f>
        <v>0</v>
      </c>
      <c r="AY31" s="244">
        <f>IF(AND($F31="E",$F10=0,R10&gt;0),$Z31*$BT31,0)</f>
        <v>0</v>
      </c>
      <c r="AZ31" s="242">
        <f>IF(AND($F31="E"),$S10/'DATI (2)'!$E$13,0)</f>
        <v>0</v>
      </c>
      <c r="BA31" s="244">
        <f>IF(AND($F31="E",$S10&gt;0),$Z31*$BU31,0)</f>
        <v>0</v>
      </c>
      <c r="BB31" s="264"/>
      <c r="BC31" s="242">
        <f>IF(AND(OR($F31="B",$F31="C"),$F10&gt;0),$R10/'DATI (2)'!$E$13,0)</f>
        <v>0</v>
      </c>
      <c r="BD31" s="244">
        <f>IF(AND(AND(OR($F31="B",$F31="C")),$F10&gt;0),$Z31,0)</f>
        <v>0</v>
      </c>
      <c r="BE31" s="242">
        <f>IF(AND(OR($F31="B",$F31="C"),$F10=0),$R10/'DATI (2)'!$E$13,0)</f>
        <v>0</v>
      </c>
      <c r="BF31" s="244">
        <f>IF(AND((OR($F31="B",$F31="C")),$F10=0,R10&gt;0),$Z31*$BT31,0)</f>
        <v>0</v>
      </c>
      <c r="BG31" s="242">
        <f>IF(AND(OR($F31="B",$F31="C")),$S10/'DATI (2)'!$E$13,0)</f>
        <v>0</v>
      </c>
      <c r="BH31" s="244">
        <f>IF(AND((OR($F31="B",$F31="C")),$S10&gt;0),$Z31*$BU31,0)</f>
        <v>0</v>
      </c>
      <c r="BJ31" s="242">
        <f>IF(AND($F31="A",$F10&gt;0),$R10/'DATI (2)'!$E$13,0)</f>
        <v>0</v>
      </c>
      <c r="BK31" s="244">
        <f>IF(AND($F31="a",$F10&gt;0),$Z31,0)</f>
        <v>0</v>
      </c>
      <c r="BL31" s="242">
        <f>IF(AND($F31="A",$F10=0),$R10/'DATI (2)'!$E$13,0)</f>
        <v>0</v>
      </c>
      <c r="BM31" s="244">
        <f>IF(AND($F31="a",$F10=0,R10&gt;0),$Z31*$BT31,0)</f>
        <v>0</v>
      </c>
      <c r="BN31" s="242">
        <f>IF(AND($F31="A"),$S10/'DATI (2)'!$E$13,0)</f>
        <v>0</v>
      </c>
      <c r="BO31" s="244">
        <f>IF(AND($F31="a",$S10&gt;0),$Z31*$BU31,0)</f>
        <v>0</v>
      </c>
      <c r="BQ31" s="245">
        <f>Q10</f>
        <v>0</v>
      </c>
      <c r="BR31" s="245">
        <f>R10/'DATI (2)'!$E$13</f>
        <v>0</v>
      </c>
      <c r="BS31" s="245">
        <f>S10/'DATI (2)'!$E$14</f>
        <v>0</v>
      </c>
      <c r="BT31" s="245" t="e">
        <f>BR31/BQ31</f>
        <v>#DIV/0!</v>
      </c>
      <c r="BU31" s="245" t="e">
        <f>BS31/BQ31</f>
        <v>#DIV/0!</v>
      </c>
      <c r="BW31" s="263">
        <f>IF(F31="E",$Q$41*G31/$AI$41,0)</f>
        <v>0</v>
      </c>
    </row>
    <row r="32" spans="4:75" ht="19.5" customHeight="1">
      <c r="D32" s="246">
        <f>D11</f>
        <v>0</v>
      </c>
      <c r="E32" s="247">
        <f>F11</f>
        <v>0</v>
      </c>
      <c r="F32" s="248">
        <f>N11</f>
        <v>0</v>
      </c>
      <c r="G32" s="249">
        <f>Q11</f>
        <v>0</v>
      </c>
      <c r="H32" s="250">
        <f>AC11</f>
        <v>0</v>
      </c>
      <c r="I32" s="250"/>
      <c r="J32" s="250"/>
      <c r="K32" s="251">
        <f>(H32)*0.1</f>
        <v>0</v>
      </c>
      <c r="L32" s="251"/>
      <c r="M32" s="252">
        <f>IF($C$5="s",IF(SUM($H$41)&lt;=1000000,SUM(H32)*0.02,SUM(H32)*0.01),0)</f>
        <v>0</v>
      </c>
      <c r="N32" s="252"/>
      <c r="O32" s="253">
        <f>(M32*(0.04))</f>
        <v>0</v>
      </c>
      <c r="P32" s="254">
        <f>(M32+O32)*0.22</f>
        <v>0</v>
      </c>
      <c r="Q32" s="255">
        <f>IF(F32="E",G32*12,0)</f>
        <v>0</v>
      </c>
      <c r="R32" s="256">
        <f>BW32*0.22</f>
        <v>0</v>
      </c>
      <c r="S32" s="257">
        <f>IF(F32="E",H32*1.5%,0)</f>
        <v>0</v>
      </c>
      <c r="T32" s="258">
        <f>S32*0.02</f>
        <v>0</v>
      </c>
      <c r="U32" s="259">
        <f>(S32+T32)*0.22</f>
        <v>0</v>
      </c>
      <c r="V32" s="255">
        <f>H32*0.15</f>
        <v>0</v>
      </c>
      <c r="W32" s="253">
        <f>V32*0.04</f>
        <v>0</v>
      </c>
      <c r="X32" s="260">
        <f>0.22*(W32+V32)</f>
        <v>0</v>
      </c>
      <c r="Y32" s="261">
        <f>SUM(K32:X32)-Q32+BW32</f>
        <v>0</v>
      </c>
      <c r="Z32" s="262">
        <f>Y32+H32</f>
        <v>0</v>
      </c>
      <c r="AA32" s="262"/>
      <c r="AB32" s="240"/>
      <c r="AC32" s="240"/>
      <c r="AF32" s="151"/>
      <c r="AG32" s="151"/>
      <c r="AH32" s="241">
        <f>IF($N11="E",$T11,0)</f>
        <v>0</v>
      </c>
      <c r="AI32" s="241">
        <f>IF(OR($F32="E",$F32="E"),$G32,0)</f>
        <v>0</v>
      </c>
      <c r="AJ32" s="241">
        <f>IF(OR($F32="B",$F32="C"),$G32,0)</f>
        <v>0</v>
      </c>
      <c r="AK32" s="241">
        <f>IF($F32="A",$G32,0)</f>
        <v>0</v>
      </c>
      <c r="AL32" s="241">
        <f>IF($N11="A",$F11,0)</f>
        <v>0</v>
      </c>
      <c r="AM32" s="241">
        <f>IF(AND($F32="A",$F11&gt;0),$G32,0)</f>
        <v>0</v>
      </c>
      <c r="AN32" s="241">
        <f>IF($F11&gt;0,$G32,0)</f>
        <v>0</v>
      </c>
      <c r="AQ32" s="242">
        <f>IF($N11="E",$R11/'DATI (2)'!$E$13,0)</f>
        <v>0</v>
      </c>
      <c r="AR32" s="242">
        <f>IF($N11="E",$S11/'DATI (2)'!$E$14,0)</f>
        <v>0</v>
      </c>
      <c r="AS32" s="243">
        <f>($R11)/'DATI (2)'!$E$13</f>
        <v>0</v>
      </c>
      <c r="AT32" s="243">
        <f>$S11/'DATI (2)'!$E$14</f>
        <v>0</v>
      </c>
      <c r="AV32" s="242">
        <f>IF(AND($F32="E",$F11&gt;0),$R11/'DATI (2)'!$E$13,0)</f>
        <v>0</v>
      </c>
      <c r="AW32" s="244">
        <f>IF(AND($F32="E",$F11&gt;0),$Z32,0)</f>
        <v>0</v>
      </c>
      <c r="AX32" s="242">
        <f>IF(AND($F32="E",$F11=0),$R11/'DATI (2)'!$E$13,0)</f>
        <v>0</v>
      </c>
      <c r="AY32" s="244">
        <f>IF(AND($F32="E",$F11=0,R11&gt;0),$Z32*$BT32,0)</f>
        <v>0</v>
      </c>
      <c r="AZ32" s="242">
        <f>IF(AND($F32="E"),$S11/'DATI (2)'!$E$13,0)</f>
        <v>0</v>
      </c>
      <c r="BA32" s="244">
        <f>IF(AND($F32="E",$S11&gt;0),$Z32*$BU32,0)</f>
        <v>0</v>
      </c>
      <c r="BC32" s="242">
        <f>IF(AND(OR($F32="B",$F32="C"),$F11&gt;0),$R11/'DATI (2)'!$E$13,0)</f>
        <v>0</v>
      </c>
      <c r="BD32" s="244">
        <f>IF(AND(AND(OR($F32="B",$F32="C")),$F11&gt;0),$Z32,0)</f>
        <v>0</v>
      </c>
      <c r="BE32" s="242">
        <f>IF(AND(OR($F32="B",$F32="C"),$F11=0),$R11/'DATI (2)'!$E$13,0)</f>
        <v>0</v>
      </c>
      <c r="BF32" s="244">
        <f>IF(AND((OR($F32="B",$F32="C")),$F11=0,R11&gt;0),$Z32*$BT32,0)</f>
        <v>0</v>
      </c>
      <c r="BG32" s="242">
        <f>IF(AND(OR($F32="B",$F32="C")),$S11/'DATI (2)'!$E$13,0)</f>
        <v>0</v>
      </c>
      <c r="BH32" s="244">
        <f>IF(AND((OR($F32="B",$F32="C")),$S11&gt;0),$Z32*$BU32,0)</f>
        <v>0</v>
      </c>
      <c r="BJ32" s="242">
        <f>IF(AND($F32="A",$F11&gt;0),$R11/'DATI (2)'!$E$13,0)</f>
        <v>0</v>
      </c>
      <c r="BK32" s="244">
        <f>IF(AND($F32="a",$F11&gt;0),$Z32,0)</f>
        <v>0</v>
      </c>
      <c r="BL32" s="242">
        <f>IF(AND($F32="A",$F11=0),$R11/'DATI (2)'!$E$13,0)</f>
        <v>0</v>
      </c>
      <c r="BM32" s="244">
        <f>IF(AND($F32="a",$F11=0,R11&gt;0),$Z32*$BT32,0)</f>
        <v>0</v>
      </c>
      <c r="BN32" s="242">
        <f>IF(AND($F32="A"),$S11/'DATI (2)'!$E$13,0)</f>
        <v>0</v>
      </c>
      <c r="BO32" s="244">
        <f>IF(AND($F32="a",$S11&gt;0),$Z32*$BU32,0)</f>
        <v>0</v>
      </c>
      <c r="BQ32" s="245">
        <f>Q11</f>
        <v>0</v>
      </c>
      <c r="BR32" s="245">
        <f>R11/'DATI (2)'!$E$13</f>
        <v>0</v>
      </c>
      <c r="BS32" s="245">
        <f>S11/'DATI (2)'!$E$14</f>
        <v>0</v>
      </c>
      <c r="BT32" s="245" t="e">
        <f>BR32/BQ32</f>
        <v>#DIV/0!</v>
      </c>
      <c r="BU32" s="245" t="e">
        <f>BS32/BQ32</f>
        <v>#DIV/0!</v>
      </c>
      <c r="BW32" s="68">
        <f>IF(F32="E",$Q$41*G32/$AI$41,0)</f>
        <v>0</v>
      </c>
    </row>
    <row r="33" spans="4:75" ht="19.5" customHeight="1">
      <c r="D33" s="246">
        <f>D12</f>
        <v>0</v>
      </c>
      <c r="E33" s="247">
        <f>F12</f>
        <v>0</v>
      </c>
      <c r="F33" s="248">
        <f>N12</f>
        <v>0</v>
      </c>
      <c r="G33" s="249">
        <f>Q12</f>
        <v>0</v>
      </c>
      <c r="H33" s="250">
        <f>AC12</f>
        <v>0</v>
      </c>
      <c r="I33" s="250"/>
      <c r="J33" s="250"/>
      <c r="K33" s="251">
        <f>(H33)*0.1</f>
        <v>0</v>
      </c>
      <c r="L33" s="251"/>
      <c r="M33" s="252">
        <f>IF($C$5="s",IF(SUM($H$41)&lt;=1000000,SUM(H33)*0.02,SUM(H33)*0.01),0)</f>
        <v>0</v>
      </c>
      <c r="N33" s="252"/>
      <c r="O33" s="253">
        <f>(M33*(0.04))</f>
        <v>0</v>
      </c>
      <c r="P33" s="254">
        <f>(M33+O33)*0.22</f>
        <v>0</v>
      </c>
      <c r="Q33" s="255">
        <f>IF(F33="E",G33*12,0)</f>
        <v>0</v>
      </c>
      <c r="R33" s="256">
        <f>BW33*0.22</f>
        <v>0</v>
      </c>
      <c r="S33" s="257">
        <f>IF(F33="E",H33*1.5%,0)</f>
        <v>0</v>
      </c>
      <c r="T33" s="258">
        <f>S33*0.02</f>
        <v>0</v>
      </c>
      <c r="U33" s="259">
        <f>(S33+T33)*0.22</f>
        <v>0</v>
      </c>
      <c r="V33" s="255">
        <f>H33*0.15</f>
        <v>0</v>
      </c>
      <c r="W33" s="253">
        <f>V33*0.04</f>
        <v>0</v>
      </c>
      <c r="X33" s="260">
        <f>0.22*(W33+V33)</f>
        <v>0</v>
      </c>
      <c r="Y33" s="261">
        <f>SUM(K33:X33)-Q33+BW33</f>
        <v>0</v>
      </c>
      <c r="Z33" s="262">
        <f>Y33+H33</f>
        <v>0</v>
      </c>
      <c r="AA33" s="262"/>
      <c r="AB33" s="240"/>
      <c r="AC33" s="240"/>
      <c r="AF33" s="151"/>
      <c r="AG33" s="151"/>
      <c r="AH33" s="241">
        <f>IF($N12="E",$T12,0)</f>
        <v>0</v>
      </c>
      <c r="AI33" s="241">
        <f>IF(OR($F33="E",$F33="E"),$G33,0)</f>
        <v>0</v>
      </c>
      <c r="AJ33" s="241">
        <f>IF(OR($F33="B",$F33="C"),$G33,0)</f>
        <v>0</v>
      </c>
      <c r="AK33" s="241">
        <f>IF($F33="A",$G33,0)</f>
        <v>0</v>
      </c>
      <c r="AL33" s="241">
        <f>IF($N12="A",$F12,0)</f>
        <v>0</v>
      </c>
      <c r="AM33" s="241">
        <f>IF(AND($F33="A",$F12&gt;0),$G33,0)</f>
        <v>0</v>
      </c>
      <c r="AN33" s="241">
        <f>IF($F12&gt;0,$G33,0)</f>
        <v>0</v>
      </c>
      <c r="AQ33" s="242">
        <f>IF($N12="E",$R12/'DATI (2)'!$E$13,0)</f>
        <v>0</v>
      </c>
      <c r="AR33" s="242">
        <f>IF($N12="E",$S12/'DATI (2)'!$E$14,0)</f>
        <v>0</v>
      </c>
      <c r="AS33" s="243">
        <f>($R12)/'DATI (2)'!$E$13</f>
        <v>0</v>
      </c>
      <c r="AT33" s="243">
        <f>$S12/'DATI (2)'!$E$14</f>
        <v>0</v>
      </c>
      <c r="AV33" s="242">
        <f>IF(AND($F33="E",$F12&gt;0),$R12/'DATI (2)'!$E$13,0)</f>
        <v>0</v>
      </c>
      <c r="AW33" s="244">
        <f>IF(AND($F33="E",$F12&gt;0),$Z33,0)</f>
        <v>0</v>
      </c>
      <c r="AX33" s="242">
        <f>IF(AND($F33="E",$F12=0),$R12/'DATI (2)'!$E$13,0)</f>
        <v>0</v>
      </c>
      <c r="AY33" s="244">
        <f>IF(AND($F33="E",$F12=0,R12&gt;0),$Z33*$BT33,0)</f>
        <v>0</v>
      </c>
      <c r="AZ33" s="242">
        <f>IF(AND($F33="E"),$S12/'DATI (2)'!$E$13,0)</f>
        <v>0</v>
      </c>
      <c r="BA33" s="244">
        <f>IF(AND($F33="E",$S12&gt;0),$Z33*$BU33,0)</f>
        <v>0</v>
      </c>
      <c r="BC33" s="242">
        <f>IF(AND(OR($F33="B",$F33="C"),$F12&gt;0),$R12/'DATI (2)'!$E$13,0)</f>
        <v>0</v>
      </c>
      <c r="BD33" s="244">
        <f>IF(AND(AND(OR($F33="B",$F33="C")),$F12&gt;0),$Z33,0)</f>
        <v>0</v>
      </c>
      <c r="BE33" s="242">
        <f>IF(AND(OR($F33="B",$F33="C"),$F12=0),$R12/'DATI (2)'!$E$13,0)</f>
        <v>0</v>
      </c>
      <c r="BF33" s="244">
        <f>IF(AND((OR($F33="B",$F33="C")),$F12=0,R12&gt;0),$Z33*$BT33,0)</f>
        <v>0</v>
      </c>
      <c r="BG33" s="242">
        <f>IF(AND(OR($F33="B",$F33="C")),$S12/'DATI (2)'!$E$13,0)</f>
        <v>0</v>
      </c>
      <c r="BH33" s="244">
        <f>IF(AND((OR($F33="B",$F33="C")),$S12&gt;0),$Z33*$BU33,0)</f>
        <v>0</v>
      </c>
      <c r="BJ33" s="242">
        <f>IF(AND($F33="A",$F12&gt;0),$R12/'DATI (2)'!$E$13,0)</f>
        <v>0</v>
      </c>
      <c r="BK33" s="244">
        <f>IF(AND($F33="a",$F12&gt;0),$Z33,0)</f>
        <v>0</v>
      </c>
      <c r="BL33" s="242">
        <f>IF(AND($F33="A",$F12=0),$R12/'DATI (2)'!$E$13,0)</f>
        <v>0</v>
      </c>
      <c r="BM33" s="244">
        <f>IF(AND($F33="a",$F12=0,R12&gt;0),$Z33*$BT33,0)</f>
        <v>0</v>
      </c>
      <c r="BN33" s="242">
        <f>IF(AND($F33="A"),$S12/'DATI (2)'!$E$13,0)</f>
        <v>0</v>
      </c>
      <c r="BO33" s="244">
        <f>IF(AND($F33="a",$S12&gt;0),$Z33*$BU33,0)</f>
        <v>0</v>
      </c>
      <c r="BQ33" s="245">
        <f>Q12</f>
        <v>0</v>
      </c>
      <c r="BR33" s="245">
        <f>R12/'DATI (2)'!$E$13</f>
        <v>0</v>
      </c>
      <c r="BS33" s="245">
        <f>S12/'DATI (2)'!$E$14</f>
        <v>0</v>
      </c>
      <c r="BT33" s="245" t="e">
        <f>BR33/BQ33</f>
        <v>#DIV/0!</v>
      </c>
      <c r="BU33" s="245" t="e">
        <f>BS33/BQ33</f>
        <v>#DIV/0!</v>
      </c>
      <c r="BW33" s="68">
        <f>IF(F33="E",$Q$41*G33/$AI$41,0)</f>
        <v>0</v>
      </c>
    </row>
    <row r="34" spans="4:75" ht="19.5" customHeight="1">
      <c r="D34" s="246">
        <f>D13</f>
        <v>0</v>
      </c>
      <c r="E34" s="247">
        <f>F13</f>
        <v>0</v>
      </c>
      <c r="F34" s="248">
        <f>N13</f>
        <v>0</v>
      </c>
      <c r="G34" s="249">
        <f>Q13</f>
        <v>0</v>
      </c>
      <c r="H34" s="250">
        <f>AC13</f>
        <v>0</v>
      </c>
      <c r="I34" s="250"/>
      <c r="J34" s="250"/>
      <c r="K34" s="251">
        <f>(H34)*0.1</f>
        <v>0</v>
      </c>
      <c r="L34" s="251"/>
      <c r="M34" s="252">
        <f>IF($C$5="s",IF(SUM($H$41)&lt;=1000000,SUM(H34)*0.02,SUM(H34)*0.01),0)</f>
        <v>0</v>
      </c>
      <c r="N34" s="252"/>
      <c r="O34" s="253">
        <f>(M34*(0.04))</f>
        <v>0</v>
      </c>
      <c r="P34" s="254">
        <f>(M34+O34)*0.22</f>
        <v>0</v>
      </c>
      <c r="Q34" s="255">
        <f>IF(F34="E",G34*12,0)</f>
        <v>0</v>
      </c>
      <c r="R34" s="256">
        <f>BW34*0.22</f>
        <v>0</v>
      </c>
      <c r="S34" s="257"/>
      <c r="T34" s="258"/>
      <c r="U34" s="259">
        <f>(S34+T34)*0.22</f>
        <v>0</v>
      </c>
      <c r="V34" s="255">
        <f>H34*0.15</f>
        <v>0</v>
      </c>
      <c r="W34" s="253">
        <f>V34*0.04</f>
        <v>0</v>
      </c>
      <c r="X34" s="260">
        <f>0.22*(W34+V34)</f>
        <v>0</v>
      </c>
      <c r="Y34" s="261">
        <f>SUM(K34:X34)-Q34+BW34</f>
        <v>0</v>
      </c>
      <c r="Z34" s="262">
        <f>Y34+H34</f>
        <v>0</v>
      </c>
      <c r="AA34" s="262"/>
      <c r="AB34" s="240"/>
      <c r="AC34" s="240"/>
      <c r="AF34" s="151"/>
      <c r="AG34" s="151"/>
      <c r="AH34" s="241">
        <f>IF($N13="E",$T13,0)</f>
        <v>0</v>
      </c>
      <c r="AI34" s="241">
        <f>IF(OR($F34="E",$F34="E"),$G34,0)</f>
        <v>0</v>
      </c>
      <c r="AJ34" s="241">
        <f>IF(OR($F34="B",$F34="C"),$G34,0)</f>
        <v>0</v>
      </c>
      <c r="AK34" s="241">
        <f>IF($F34="A",$G34,0)</f>
        <v>0</v>
      </c>
      <c r="AL34" s="241">
        <f>IF($N13="A",$F13,0)</f>
        <v>0</v>
      </c>
      <c r="AM34" s="241">
        <f>IF(AND($F34="A",$F13&gt;0),$G34,0)</f>
        <v>0</v>
      </c>
      <c r="AN34" s="241">
        <f>IF($F13&gt;0,$G34,0)</f>
        <v>0</v>
      </c>
      <c r="AQ34" s="242">
        <f>IF($N13="E",$R13/'DATI (2)'!$E$13,0)</f>
        <v>0</v>
      </c>
      <c r="AR34" s="242">
        <f>IF($N13="E",$S13/'DATI (2)'!$E$14,0)</f>
        <v>0</v>
      </c>
      <c r="AS34" s="243">
        <f>($R13)/'DATI (2)'!$E$13</f>
        <v>0</v>
      </c>
      <c r="AT34" s="243">
        <f>$S13/'DATI (2)'!$E$14</f>
        <v>0</v>
      </c>
      <c r="AV34" s="242">
        <f>IF(AND($F34="E",$F13&gt;0),$R13/'DATI (2)'!$E$13,0)</f>
        <v>0</v>
      </c>
      <c r="AW34" s="244">
        <f>IF(AND($F34="E",$F13&gt;0),$Z34,0)</f>
        <v>0</v>
      </c>
      <c r="AX34" s="242">
        <f>IF(AND($F34="E",$F13=0),$R13/'DATI (2)'!$E$13,0)</f>
        <v>0</v>
      </c>
      <c r="AY34" s="244">
        <f>IF(AND($F34="E",$F13=0,R13&gt;0),$Z34*$BT34,0)</f>
        <v>0</v>
      </c>
      <c r="AZ34" s="242">
        <f>IF(AND($F34="E"),$S13/'DATI (2)'!$E$13,0)</f>
        <v>0</v>
      </c>
      <c r="BA34" s="244">
        <f>IF(AND($F34="E",$S13&gt;0),$Z34*$BU34,0)</f>
        <v>0</v>
      </c>
      <c r="BC34" s="242">
        <f>IF(AND(OR($F34="B",$F34="C"),$F13&gt;0),$R13/'DATI (2)'!$E$13,0)</f>
        <v>0</v>
      </c>
      <c r="BD34" s="244">
        <f>IF(AND(AND(OR($F34="B",$F34="C")),$F13&gt;0),$Z34,0)</f>
        <v>0</v>
      </c>
      <c r="BE34" s="242">
        <f>IF(AND(OR($F34="B",$F34="C"),$F13=0),$R13/'DATI (2)'!$E$13,0)</f>
        <v>0</v>
      </c>
      <c r="BF34" s="244">
        <f>IF(AND((OR($F34="B",$F34="C")),$F13=0,R13&gt;0),$Z34*$BT34,0)</f>
        <v>0</v>
      </c>
      <c r="BG34" s="242">
        <f>IF(AND(OR($F34="B",$F34="C")),$S13/'DATI (2)'!$E$13,0)</f>
        <v>0</v>
      </c>
      <c r="BH34" s="244">
        <f>IF(AND((OR($F34="B",$F34="C")),$S13&gt;0),$Z34*$BU34,0)</f>
        <v>0</v>
      </c>
      <c r="BJ34" s="242">
        <f>IF(AND($F34="A",$F13&gt;0),$R13/'DATI (2)'!$E$13,0)</f>
        <v>0</v>
      </c>
      <c r="BK34" s="244">
        <f>IF(AND($F34="a",$F13&gt;0),$Z34,0)</f>
        <v>0</v>
      </c>
      <c r="BL34" s="242">
        <f>IF(AND($F34="A",$F13=0),$R13/'DATI (2)'!$E$13,0)</f>
        <v>0</v>
      </c>
      <c r="BM34" s="244">
        <f>IF(AND($F34="a",$F13=0,R13&gt;0),$Z34*$BT34,0)</f>
        <v>0</v>
      </c>
      <c r="BN34" s="242">
        <f>IF(AND($F34="A"),$S13/'DATI (2)'!$E$13,0)</f>
        <v>0</v>
      </c>
      <c r="BO34" s="244">
        <f>IF(AND($F34="a",$S13&gt;0),$Z34*$BU34,0)</f>
        <v>0</v>
      </c>
      <c r="BQ34" s="245">
        <f>Q13</f>
        <v>0</v>
      </c>
      <c r="BR34" s="245">
        <f>R13/'DATI (2)'!$E$13</f>
        <v>0</v>
      </c>
      <c r="BS34" s="245">
        <f>S13/'DATI (2)'!$E$14</f>
        <v>0</v>
      </c>
      <c r="BT34" s="245" t="e">
        <f>BR34/BQ34</f>
        <v>#DIV/0!</v>
      </c>
      <c r="BU34" s="245" t="e">
        <f>BS34/BQ34</f>
        <v>#DIV/0!</v>
      </c>
      <c r="BW34" s="68">
        <f>IF(F34="E",$Q$41*G34/$AI$41,0)</f>
        <v>0</v>
      </c>
    </row>
    <row r="35" spans="4:75" ht="19.5" customHeight="1">
      <c r="D35" s="246">
        <f>D14</f>
        <v>0</v>
      </c>
      <c r="E35" s="247">
        <f>F14</f>
        <v>0</v>
      </c>
      <c r="F35" s="248">
        <f>N14</f>
        <v>0</v>
      </c>
      <c r="G35" s="249">
        <f>Q14</f>
        <v>0</v>
      </c>
      <c r="H35" s="250">
        <f>AC14</f>
        <v>0</v>
      </c>
      <c r="I35" s="250"/>
      <c r="J35" s="250"/>
      <c r="K35" s="251">
        <f>(H35)*0.1</f>
        <v>0</v>
      </c>
      <c r="L35" s="251"/>
      <c r="M35" s="252">
        <f>IF($C$5="s",IF(SUM($H$41)&lt;=1000000,SUM(H35)*0.02,SUM(H35)*0.01),0)</f>
        <v>0</v>
      </c>
      <c r="N35" s="252"/>
      <c r="O35" s="253">
        <f>(M35*(0.04))</f>
        <v>0</v>
      </c>
      <c r="P35" s="254">
        <f>(M35+O35)*0.22</f>
        <v>0</v>
      </c>
      <c r="Q35" s="255">
        <f>IF(F35="E",G35*12,0)</f>
        <v>0</v>
      </c>
      <c r="R35" s="256">
        <f>BW35*0.22</f>
        <v>0</v>
      </c>
      <c r="S35" s="257"/>
      <c r="T35" s="258"/>
      <c r="U35" s="259">
        <f>(S35+T35)*0.22</f>
        <v>0</v>
      </c>
      <c r="V35" s="255">
        <f>H35*0.15</f>
        <v>0</v>
      </c>
      <c r="W35" s="253">
        <f>V35*0.04</f>
        <v>0</v>
      </c>
      <c r="X35" s="260">
        <f>0.22*(W35+V35)</f>
        <v>0</v>
      </c>
      <c r="Y35" s="261">
        <f>SUM(K35:X35)-Q35+BW35</f>
        <v>0</v>
      </c>
      <c r="Z35" s="262">
        <f>Y35+H35</f>
        <v>0</v>
      </c>
      <c r="AA35" s="262"/>
      <c r="AB35" s="240"/>
      <c r="AC35" s="240"/>
      <c r="AF35" s="151"/>
      <c r="AG35" s="151"/>
      <c r="AH35" s="241">
        <f>IF($N14="E",$T14,0)</f>
        <v>0</v>
      </c>
      <c r="AI35" s="241">
        <f>IF(OR($F35="E",$F35="E"),$G35,0)</f>
        <v>0</v>
      </c>
      <c r="AJ35" s="241">
        <f>IF(OR($F35="B",$F35="C"),$G35,0)</f>
        <v>0</v>
      </c>
      <c r="AK35" s="241">
        <f>IF($F35="A",$G35,0)</f>
        <v>0</v>
      </c>
      <c r="AL35" s="241">
        <f>IF($N14="A",$F14,0)</f>
        <v>0</v>
      </c>
      <c r="AM35" s="241">
        <f>IF(AND($F35="A",$F14&gt;0),$G35,0)</f>
        <v>0</v>
      </c>
      <c r="AN35" s="241">
        <f>IF($F14&gt;0,$G35,0)</f>
        <v>0</v>
      </c>
      <c r="AQ35" s="242">
        <f>IF($N14="E",$R14/'DATI (2)'!$E$13,0)</f>
        <v>0</v>
      </c>
      <c r="AR35" s="242">
        <f>IF($N14="E",$S14/'DATI (2)'!$E$14,0)</f>
        <v>0</v>
      </c>
      <c r="AS35" s="243">
        <f>($R14)/'DATI (2)'!$E$13</f>
        <v>0</v>
      </c>
      <c r="AT35" s="243">
        <f>$S14/'DATI (2)'!$E$14</f>
        <v>0</v>
      </c>
      <c r="AV35" s="242">
        <f>IF(AND($F35="E",$F14&gt;0),$R14/'DATI (2)'!$E$13,0)</f>
        <v>0</v>
      </c>
      <c r="AW35" s="244">
        <f>IF(AND($F35="E",$F14&gt;0),$Z35,0)</f>
        <v>0</v>
      </c>
      <c r="AX35" s="242">
        <f>IF(AND($F35="E",$F14=0),$R14/'DATI (2)'!$E$13,0)</f>
        <v>0</v>
      </c>
      <c r="AY35" s="244">
        <f>IF(AND($F35="E",$F14=0,R14&gt;0),$Z35*$BT35,0)</f>
        <v>0</v>
      </c>
      <c r="AZ35" s="242">
        <f>IF(AND($F35="E"),$S14/'DATI (2)'!$E$13,0)</f>
        <v>0</v>
      </c>
      <c r="BA35" s="244">
        <f>IF(AND($F35="E",$S14&gt;0),$Z35*$BU35,0)</f>
        <v>0</v>
      </c>
      <c r="BC35" s="242">
        <f>IF(AND(OR($F35="B",$F35="C"),$F14&gt;0),$R14/'DATI (2)'!$E$13,0)</f>
        <v>0</v>
      </c>
      <c r="BD35" s="244">
        <f>IF(AND(AND(OR($F35="B",$F35="C")),$F14&gt;0),$Z35,0)</f>
        <v>0</v>
      </c>
      <c r="BE35" s="242">
        <f>IF(AND(OR($F35="B",$F35="C"),$F14=0),$R14/'DATI (2)'!$E$13,0)</f>
        <v>0</v>
      </c>
      <c r="BF35" s="244">
        <f>IF(AND((OR($F35="B",$F35="C")),$F14=0,R14&gt;0),$Z35*$BT35,0)</f>
        <v>0</v>
      </c>
      <c r="BG35" s="242">
        <f>IF(AND(OR($F35="B",$F35="C")),$S14/'DATI (2)'!$E$13,0)</f>
        <v>0</v>
      </c>
      <c r="BH35" s="244">
        <f>IF(AND((OR($F35="B",$F35="C")),$S14&gt;0),$Z35*$BU35,0)</f>
        <v>0</v>
      </c>
      <c r="BJ35" s="242">
        <f>IF(AND($F35="A",$F14&gt;0),$R14/'DATI (2)'!$E$13,0)</f>
        <v>0</v>
      </c>
      <c r="BK35" s="244">
        <f>IF(AND($F35="a",$F14&gt;0),$Z35,0)</f>
        <v>0</v>
      </c>
      <c r="BL35" s="242">
        <f>IF(AND($F35="A",$F14=0),$R14/'DATI (2)'!$E$13,0)</f>
        <v>0</v>
      </c>
      <c r="BM35" s="244">
        <f>IF(AND($F35="a",$F14=0,R14&gt;0),$Z35*$BT35,0)</f>
        <v>0</v>
      </c>
      <c r="BN35" s="242">
        <f>IF(AND($F35="A"),$S14/'DATI (2)'!$E$13,0)</f>
        <v>0</v>
      </c>
      <c r="BO35" s="244">
        <f>IF(AND($F35="a",$S14&gt;0),$Z35*$BU35,0)</f>
        <v>0</v>
      </c>
      <c r="BQ35" s="245">
        <f>Q14</f>
        <v>0</v>
      </c>
      <c r="BR35" s="245">
        <f>R14/'DATI (2)'!$E$13</f>
        <v>0</v>
      </c>
      <c r="BS35" s="245">
        <f>S14/'DATI (2)'!$E$14</f>
        <v>0</v>
      </c>
      <c r="BT35" s="245" t="e">
        <f>BR35/BQ35</f>
        <v>#DIV/0!</v>
      </c>
      <c r="BU35" s="245" t="e">
        <f>BS35/BQ35</f>
        <v>#DIV/0!</v>
      </c>
      <c r="BW35" s="68">
        <f>IF(F35="E",$Q$41*G35/$AI$41,0)</f>
        <v>0</v>
      </c>
    </row>
    <row r="36" spans="4:75" ht="19.5" customHeight="1">
      <c r="D36" s="246">
        <f>D15</f>
        <v>0</v>
      </c>
      <c r="E36" s="247">
        <f>F15</f>
        <v>0</v>
      </c>
      <c r="F36" s="248">
        <f>N15</f>
        <v>0</v>
      </c>
      <c r="G36" s="249">
        <f>Q15</f>
        <v>0</v>
      </c>
      <c r="H36" s="250">
        <f>AC15</f>
        <v>0</v>
      </c>
      <c r="I36" s="250"/>
      <c r="J36" s="250"/>
      <c r="K36" s="251">
        <f>(H36)*0.1</f>
        <v>0</v>
      </c>
      <c r="L36" s="251"/>
      <c r="M36" s="252">
        <f>IF($C$5="s",IF(SUM($H$41)&lt;=1000000,SUM(H36)*0.02,SUM(H36)*0.01),0)</f>
        <v>0</v>
      </c>
      <c r="N36" s="252"/>
      <c r="O36" s="253">
        <f>(M36*(0.04))</f>
        <v>0</v>
      </c>
      <c r="P36" s="254">
        <f>(M36+O36)*0.22</f>
        <v>0</v>
      </c>
      <c r="Q36" s="255">
        <f>IF(F36="E",G36*12,0)</f>
        <v>0</v>
      </c>
      <c r="R36" s="256">
        <f>BW36*0.22</f>
        <v>0</v>
      </c>
      <c r="S36" s="257"/>
      <c r="T36" s="258"/>
      <c r="U36" s="259">
        <f>(S36+T36)*0.22</f>
        <v>0</v>
      </c>
      <c r="V36" s="255">
        <f>H36*0.15</f>
        <v>0</v>
      </c>
      <c r="W36" s="253">
        <f>V36*0.04</f>
        <v>0</v>
      </c>
      <c r="X36" s="260">
        <f>0.22*(W36+V36)</f>
        <v>0</v>
      </c>
      <c r="Y36" s="261">
        <f>SUM(K36:X36)-Q36+BW36</f>
        <v>0</v>
      </c>
      <c r="Z36" s="262">
        <f>Y36+H36</f>
        <v>0</v>
      </c>
      <c r="AA36" s="262"/>
      <c r="AB36" s="240"/>
      <c r="AC36" s="240"/>
      <c r="AF36" s="151"/>
      <c r="AG36" s="151"/>
      <c r="AH36" s="241">
        <f>IF($N15="E",$T15,0)</f>
        <v>0</v>
      </c>
      <c r="AI36" s="241">
        <f>IF(OR($F36="E",$F36="E"),$G36,0)</f>
        <v>0</v>
      </c>
      <c r="AJ36" s="241">
        <f>IF(OR($F36="B",$F36="C"),$G36,0)</f>
        <v>0</v>
      </c>
      <c r="AK36" s="241">
        <f>IF($F36="A",$G36,0)</f>
        <v>0</v>
      </c>
      <c r="AL36" s="241">
        <f>IF($N15="A",$F15,0)</f>
        <v>0</v>
      </c>
      <c r="AM36" s="241">
        <f>IF(AND($F36="A",$F15&gt;0),$G36,0)</f>
        <v>0</v>
      </c>
      <c r="AN36" s="241">
        <f>IF($F15&gt;0,$G36,0)</f>
        <v>0</v>
      </c>
      <c r="AQ36" s="242">
        <f>IF($N15="E",$R15/'DATI (2)'!$E$13,0)</f>
        <v>0</v>
      </c>
      <c r="AR36" s="242">
        <f>IF($N15="E",$S15/'DATI (2)'!$E$14,0)</f>
        <v>0</v>
      </c>
      <c r="AS36" s="243">
        <f>($R15)/'DATI (2)'!$E$13</f>
        <v>0</v>
      </c>
      <c r="AT36" s="243">
        <f>$S15/'DATI (2)'!$E$14</f>
        <v>0</v>
      </c>
      <c r="AV36" s="242">
        <f>IF(AND($F36="E",$F15&gt;0),$R15/'DATI (2)'!$E$13,0)</f>
        <v>0</v>
      </c>
      <c r="AW36" s="244">
        <f>IF(AND($F36="E",$F15&gt;0),$Z36,0)</f>
        <v>0</v>
      </c>
      <c r="AX36" s="242">
        <f>IF(AND($F36="E",$F15=0),$R15/'DATI (2)'!$E$13,0)</f>
        <v>0</v>
      </c>
      <c r="AY36" s="244">
        <f>IF(AND($F36="E",$F15=0,R15&gt;0),$Z36*$BT36,0)</f>
        <v>0</v>
      </c>
      <c r="AZ36" s="242">
        <f>IF(AND($F36="E"),$S15/'DATI (2)'!$E$13,0)</f>
        <v>0</v>
      </c>
      <c r="BA36" s="244">
        <f>IF(AND($F36="E",$S15&gt;0),$Z36*$BU36,0)</f>
        <v>0</v>
      </c>
      <c r="BC36" s="242">
        <f>IF(AND(OR($F36="B",$F36="C"),$F15&gt;0),$R15/'DATI (2)'!$E$13,0)</f>
        <v>0</v>
      </c>
      <c r="BD36" s="244">
        <f>IF(AND(AND(OR($F36="B",$F36="C")),$F15&gt;0),$Z36,0)</f>
        <v>0</v>
      </c>
      <c r="BE36" s="242">
        <f>IF(AND(OR($F36="B",$F36="C"),$F15=0),$R15/'DATI (2)'!$E$13,0)</f>
        <v>0</v>
      </c>
      <c r="BF36" s="244">
        <f>IF(AND((OR($F36="B",$F36="C")),$F15=0,R15&gt;0),$Z36*$BT36,0)</f>
        <v>0</v>
      </c>
      <c r="BG36" s="242">
        <f>IF(AND(OR($F36="B",$F36="C")),$S15/'DATI (2)'!$E$13,0)</f>
        <v>0</v>
      </c>
      <c r="BH36" s="244">
        <f>IF(AND((OR($F36="B",$F36="C")),$S15&gt;0),$Z36*$BU36,0)</f>
        <v>0</v>
      </c>
      <c r="BJ36" s="242">
        <f>IF(AND($F36="A",$F15&gt;0),$R15/'DATI (2)'!$E$13,0)</f>
        <v>0</v>
      </c>
      <c r="BK36" s="244">
        <f>IF(AND($F36="a",$F15&gt;0),$Z36,0)</f>
        <v>0</v>
      </c>
      <c r="BL36" s="242">
        <f>IF(AND($F36="A",$F15=0),$R15/'DATI (2)'!$E$13,0)</f>
        <v>0</v>
      </c>
      <c r="BM36" s="244">
        <f>IF(AND($F36="a",$F15=0,R15&gt;0),$Z36*$BT36,0)</f>
        <v>0</v>
      </c>
      <c r="BN36" s="242">
        <f>IF(AND($F36="A"),$S15/'DATI (2)'!$E$13,0)</f>
        <v>0</v>
      </c>
      <c r="BO36" s="244">
        <f>IF(AND($F36="a",$S15&gt;0),$Z36*$BU36,0)</f>
        <v>0</v>
      </c>
      <c r="BQ36" s="245">
        <f>Q15</f>
        <v>0</v>
      </c>
      <c r="BR36" s="245">
        <f>R15/'DATI (2)'!$E$13</f>
        <v>0</v>
      </c>
      <c r="BS36" s="245">
        <f>S15/'DATI (2)'!$E$14</f>
        <v>0</v>
      </c>
      <c r="BT36" s="245" t="e">
        <f>BR36/BQ36</f>
        <v>#DIV/0!</v>
      </c>
      <c r="BU36" s="245" t="e">
        <f>BS36/BQ36</f>
        <v>#DIV/0!</v>
      </c>
      <c r="BW36" s="68">
        <f>IF(F36="E",$Q$41*G36/$AI$41,0)</f>
        <v>0</v>
      </c>
    </row>
    <row r="37" spans="4:75" ht="19.5" customHeight="1">
      <c r="D37" s="246">
        <f>D16</f>
        <v>0</v>
      </c>
      <c r="E37" s="247">
        <f>F16</f>
        <v>0</v>
      </c>
      <c r="F37" s="248">
        <f>N16</f>
        <v>0</v>
      </c>
      <c r="G37" s="249">
        <f>Q16</f>
        <v>0</v>
      </c>
      <c r="H37" s="250">
        <f>AC16</f>
        <v>0</v>
      </c>
      <c r="I37" s="250"/>
      <c r="J37" s="250"/>
      <c r="K37" s="251">
        <f>(H37)*0.1</f>
        <v>0</v>
      </c>
      <c r="L37" s="251"/>
      <c r="M37" s="252">
        <f>IF($C$5="s",IF(SUM($H$41)&lt;=1000000,SUM(H37)*0.02,SUM(H37)*0.01),0)</f>
        <v>0</v>
      </c>
      <c r="N37" s="252"/>
      <c r="O37" s="253">
        <f>(M37*(0.04))</f>
        <v>0</v>
      </c>
      <c r="P37" s="254">
        <f>(M37+O37)*0.22</f>
        <v>0</v>
      </c>
      <c r="Q37" s="255">
        <f>IF(F37="E",G37*12,0)</f>
        <v>0</v>
      </c>
      <c r="R37" s="256">
        <f>BW37*0.22</f>
        <v>0</v>
      </c>
      <c r="S37" s="257">
        <f>IF(F37="E",H37*1.5%,0)</f>
        <v>0</v>
      </c>
      <c r="T37" s="258">
        <f>S37*0.02</f>
        <v>0</v>
      </c>
      <c r="U37" s="259">
        <f>(S37+T37)*0.22</f>
        <v>0</v>
      </c>
      <c r="V37" s="255">
        <f>H37*0.15</f>
        <v>0</v>
      </c>
      <c r="W37" s="253">
        <f>V37*0.04</f>
        <v>0</v>
      </c>
      <c r="X37" s="260">
        <f>0.22*(W37+V37)</f>
        <v>0</v>
      </c>
      <c r="Y37" s="261">
        <f>SUM(K37:X37)-Q37+BW37</f>
        <v>0</v>
      </c>
      <c r="Z37" s="262">
        <f>Y37+H37</f>
        <v>0</v>
      </c>
      <c r="AA37" s="262"/>
      <c r="AB37" s="240"/>
      <c r="AC37" s="240"/>
      <c r="AF37" s="151"/>
      <c r="AG37" s="151"/>
      <c r="AH37" s="241">
        <f>IF($N16="E",$T16,0)</f>
        <v>0</v>
      </c>
      <c r="AI37" s="241">
        <f>IF(OR($F37="E",$F37="E"),$G37,0)</f>
        <v>0</v>
      </c>
      <c r="AJ37" s="241">
        <f>IF(OR($F37="B",$F37="C"),$G37,0)</f>
        <v>0</v>
      </c>
      <c r="AK37" s="241">
        <f>IF($F37="A",$G37,0)</f>
        <v>0</v>
      </c>
      <c r="AL37" s="241">
        <f>IF($N16="A",$F16,0)</f>
        <v>0</v>
      </c>
      <c r="AM37" s="241">
        <f>IF(AND($F37="A",$F16&gt;0),$G37,0)</f>
        <v>0</v>
      </c>
      <c r="AN37" s="241">
        <f>IF($F16&gt;0,$G37,0)</f>
        <v>0</v>
      </c>
      <c r="AQ37" s="242">
        <f>IF($N16="E",$R16/'DATI (2)'!$E$13,0)</f>
        <v>0</v>
      </c>
      <c r="AR37" s="242">
        <f>IF($N16="E",$S16/'DATI (2)'!$E$14,0)</f>
        <v>0</v>
      </c>
      <c r="AS37" s="243">
        <f>($R16)/'DATI (2)'!$E$13</f>
        <v>0</v>
      </c>
      <c r="AT37" s="243">
        <f>$S16/'DATI (2)'!$E$14</f>
        <v>0</v>
      </c>
      <c r="AV37" s="242">
        <f>IF(AND($F37="E",$F16&gt;0),$R16/'DATI (2)'!$E$13,0)</f>
        <v>0</v>
      </c>
      <c r="AW37" s="244">
        <f>IF(AND($F37="E",$F16&gt;0),$Z37,0)</f>
        <v>0</v>
      </c>
      <c r="AX37" s="242">
        <f>IF(AND($F37="E",$F16=0),$R16/'DATI (2)'!$E$13,0)</f>
        <v>0</v>
      </c>
      <c r="AY37" s="244">
        <f>IF(AND($F37="E",$F16=0,R16&gt;0),$Z37*$BT37,0)</f>
        <v>0</v>
      </c>
      <c r="AZ37" s="242">
        <f>IF(AND($F37="E"),$S16/'DATI (2)'!$E$13,0)</f>
        <v>0</v>
      </c>
      <c r="BA37" s="244">
        <f>IF(AND($F37="E",$S16&gt;0),$Z37*$BU37,0)</f>
        <v>0</v>
      </c>
      <c r="BC37" s="242">
        <f>IF(AND(OR($F37="B",$F37="C"),$F16&gt;0),$R16/'DATI (2)'!$E$13,0)</f>
        <v>0</v>
      </c>
      <c r="BD37" s="244">
        <f>IF(AND(AND(OR($F37="B",$F37="C")),$F16&gt;0),$Z37,0)</f>
        <v>0</v>
      </c>
      <c r="BE37" s="242">
        <f>IF(AND(OR($F37="B",$F37="C"),$F16=0),$R16/'DATI (2)'!$E$13,0)</f>
        <v>0</v>
      </c>
      <c r="BF37" s="244">
        <f>IF(AND((OR($F37="B",$F37="C")),$F16=0,R16&gt;0),$Z37*$BT37,0)</f>
        <v>0</v>
      </c>
      <c r="BG37" s="242">
        <f>IF(AND(OR($F37="B",$F37="C")),$S16/'DATI (2)'!$E$13,0)</f>
        <v>0</v>
      </c>
      <c r="BH37" s="244">
        <f>IF(AND((OR($F37="B",$F37="C")),$S16&gt;0),$Z37*$BU37,0)</f>
        <v>0</v>
      </c>
      <c r="BJ37" s="242">
        <f>IF(AND($F37="A",$F16&gt;0),$R16/'DATI (2)'!$E$13,0)</f>
        <v>0</v>
      </c>
      <c r="BK37" s="244">
        <f>IF(AND($F37="a",$F16&gt;0),$Z37,0)</f>
        <v>0</v>
      </c>
      <c r="BL37" s="242">
        <f>IF(AND($F37="A",$F16=0),$R16/'DATI (2)'!$E$13,0)</f>
        <v>0</v>
      </c>
      <c r="BM37" s="244">
        <f>IF(AND($F37="a",$F16=0,R16&gt;0),$Z37*$BT37,0)</f>
        <v>0</v>
      </c>
      <c r="BN37" s="242">
        <f>IF(AND($F37="A"),$S16/'DATI (2)'!$E$13,0)</f>
        <v>0</v>
      </c>
      <c r="BO37" s="244">
        <f>IF(AND($F37="a",$S16&gt;0),$Z37*$BU37,0)</f>
        <v>0</v>
      </c>
      <c r="BQ37" s="245">
        <f>Q16</f>
        <v>0</v>
      </c>
      <c r="BR37" s="245">
        <f>R16/'DATI (2)'!$E$13</f>
        <v>0</v>
      </c>
      <c r="BS37" s="245">
        <f>S16/'DATI (2)'!$E$14</f>
        <v>0</v>
      </c>
      <c r="BT37" s="245" t="e">
        <f>BR37/BQ37</f>
        <v>#DIV/0!</v>
      </c>
      <c r="BU37" s="245" t="e">
        <f>BS37/BQ37</f>
        <v>#DIV/0!</v>
      </c>
      <c r="BW37" s="68">
        <f>IF(F37="E",$Q$41*G37/$AI$41,0)</f>
        <v>0</v>
      </c>
    </row>
    <row r="38" spans="4:75" ht="19.5" customHeight="1">
      <c r="D38" s="246">
        <f>D17</f>
        <v>0</v>
      </c>
      <c r="E38" s="247">
        <f>F17</f>
        <v>0</v>
      </c>
      <c r="F38" s="248">
        <f>N17</f>
        <v>0</v>
      </c>
      <c r="G38" s="249">
        <f>Q17</f>
        <v>0</v>
      </c>
      <c r="H38" s="250">
        <f>AC17</f>
        <v>0</v>
      </c>
      <c r="I38" s="250"/>
      <c r="J38" s="250"/>
      <c r="K38" s="251">
        <f>(H38)*0.1</f>
        <v>0</v>
      </c>
      <c r="L38" s="251"/>
      <c r="M38" s="252">
        <f>IF($C$5="s",IF(SUM($H$41)&lt;=1000000,SUM(H38)*0.02,SUM(H38)*0.01),0)</f>
        <v>0</v>
      </c>
      <c r="N38" s="252"/>
      <c r="O38" s="253">
        <f>(M38*(0.04))</f>
        <v>0</v>
      </c>
      <c r="P38" s="254">
        <f>(M38+O38)*0.22</f>
        <v>0</v>
      </c>
      <c r="Q38" s="255">
        <f>IF(F38="E",G38*12,0)</f>
        <v>0</v>
      </c>
      <c r="R38" s="256">
        <f>BW38*0.22</f>
        <v>0</v>
      </c>
      <c r="S38" s="257"/>
      <c r="T38" s="258"/>
      <c r="U38" s="259">
        <f>(S38+T38)*0.22</f>
        <v>0</v>
      </c>
      <c r="V38" s="255">
        <f>H38*0.15</f>
        <v>0</v>
      </c>
      <c r="W38" s="253">
        <f>V38*0.04</f>
        <v>0</v>
      </c>
      <c r="X38" s="260">
        <f>0.22*(W38+V38)</f>
        <v>0</v>
      </c>
      <c r="Y38" s="261">
        <f>SUM(K38:X38)-Q38+BW38</f>
        <v>0</v>
      </c>
      <c r="Z38" s="262">
        <f>Y38+H38</f>
        <v>0</v>
      </c>
      <c r="AA38" s="262"/>
      <c r="AB38" s="240"/>
      <c r="AC38" s="240"/>
      <c r="AF38" s="151"/>
      <c r="AG38" s="151"/>
      <c r="AH38" s="241">
        <f>IF($N17="E",$T17,0)</f>
        <v>0</v>
      </c>
      <c r="AI38" s="241">
        <f>IF(OR($F38="E",$F38="E"),$G38,0)</f>
        <v>0</v>
      </c>
      <c r="AJ38" s="241">
        <f>IF(OR($F38="B",$F38="C"),$G38,0)</f>
        <v>0</v>
      </c>
      <c r="AK38" s="241">
        <f>IF($F38="A",$G38,0)</f>
        <v>0</v>
      </c>
      <c r="AL38" s="241">
        <f>IF($N17="A",$F17,0)</f>
        <v>0</v>
      </c>
      <c r="AM38" s="241">
        <f>IF(AND($F38="A",$F17&gt;0),$G38,0)</f>
        <v>0</v>
      </c>
      <c r="AN38" s="241">
        <f>IF($F17&gt;0,$G38,0)</f>
        <v>0</v>
      </c>
      <c r="AQ38" s="242">
        <f>IF($N17="E",$R17/'DATI (2)'!$E$13,0)</f>
        <v>0</v>
      </c>
      <c r="AR38" s="242">
        <f>IF($N17="E",$S17/'DATI (2)'!$E$14,0)</f>
        <v>0</v>
      </c>
      <c r="AS38" s="243">
        <f>($R17)/'DATI (2)'!$E$13</f>
        <v>0</v>
      </c>
      <c r="AT38" s="243">
        <f>$S17/'DATI (2)'!$E$14</f>
        <v>0</v>
      </c>
      <c r="AV38" s="242">
        <f>IF(AND($F38="E",$F17&gt;0),$R17/'DATI (2)'!$E$13,0)</f>
        <v>0</v>
      </c>
      <c r="AW38" s="244">
        <f>IF(AND($F38="E",$F17&gt;0),$Z38,0)</f>
        <v>0</v>
      </c>
      <c r="AX38" s="242">
        <f>IF(AND($F38="E",$F17=0),$R17/'DATI (2)'!$E$13,0)</f>
        <v>0</v>
      </c>
      <c r="AY38" s="244">
        <f>IF(AND($F38="E",$F17=0,R17&gt;0),$Z38*$BT38,0)</f>
        <v>0</v>
      </c>
      <c r="AZ38" s="242">
        <f>IF(AND($F38="E"),$S17/'DATI (2)'!$E$13,0)</f>
        <v>0</v>
      </c>
      <c r="BA38" s="244">
        <f>IF(AND($F38="E",$S17&gt;0),$Z38*$BU38,0)</f>
        <v>0</v>
      </c>
      <c r="BC38" s="242">
        <f>IF(AND(OR($F38="B",$F38="C"),$F17&gt;0),$R17/'DATI (2)'!$E$13,0)</f>
        <v>0</v>
      </c>
      <c r="BD38" s="244">
        <f>IF(AND(AND(OR($F38="B",$F38="C")),$F17&gt;0),$Z38,0)</f>
        <v>0</v>
      </c>
      <c r="BE38" s="242">
        <f>IF(AND(OR($F38="B",$F38="C"),$F17=0),$R17/'DATI (2)'!$E$13,0)</f>
        <v>0</v>
      </c>
      <c r="BF38" s="244">
        <f>IF(AND((OR($F38="B",$F38="C")),$F17=0,R17&gt;0),$Z38*$BT38,0)</f>
        <v>0</v>
      </c>
      <c r="BG38" s="242">
        <f>IF(AND(OR($F38="B",$F38="C")),$S17/'DATI (2)'!$E$13,0)</f>
        <v>0</v>
      </c>
      <c r="BH38" s="244">
        <f>IF(AND((OR($F38="B",$F38="C")),$S17&gt;0),$Z38*$BU38,0)</f>
        <v>0</v>
      </c>
      <c r="BJ38" s="242">
        <f>IF(AND($F38="A",$F17&gt;0),$R17/'DATI (2)'!$E$13,0)</f>
        <v>0</v>
      </c>
      <c r="BK38" s="244">
        <f>IF(AND($F38="a",$F17&gt;0),$Z38,0)</f>
        <v>0</v>
      </c>
      <c r="BL38" s="242">
        <f>IF(AND($F38="A",$F17=0),$R17/'DATI (2)'!$E$13,0)</f>
        <v>0</v>
      </c>
      <c r="BM38" s="244">
        <f>IF(AND($F38="a",$F17=0,R17&gt;0),$Z38*$BT38,0)</f>
        <v>0</v>
      </c>
      <c r="BN38" s="242">
        <f>IF(AND($F38="A"),$S17/'DATI (2)'!$E$13,0)</f>
        <v>0</v>
      </c>
      <c r="BO38" s="244">
        <f>IF(AND($F38="a",$S17&gt;0),$Z38*$BU38,0)</f>
        <v>0</v>
      </c>
      <c r="BQ38" s="245">
        <f>Q17</f>
        <v>0</v>
      </c>
      <c r="BR38" s="245">
        <f>R17/'DATI (2)'!$E$13</f>
        <v>0</v>
      </c>
      <c r="BS38" s="245">
        <f>S17/'DATI (2)'!$E$14</f>
        <v>0</v>
      </c>
      <c r="BT38" s="245" t="e">
        <f>BR38/BQ38</f>
        <v>#DIV/0!</v>
      </c>
      <c r="BU38" s="245" t="e">
        <f>BS38/BQ38</f>
        <v>#DIV/0!</v>
      </c>
      <c r="BW38" s="68">
        <f>IF(F38="E",$Q$41*G38/$AI$41,0)</f>
        <v>0</v>
      </c>
    </row>
    <row r="39" spans="4:75" ht="19.5" customHeight="1">
      <c r="D39" s="246">
        <f>D18</f>
        <v>0</v>
      </c>
      <c r="E39" s="247">
        <f>F18</f>
        <v>0</v>
      </c>
      <c r="F39" s="248">
        <f>N18</f>
        <v>0</v>
      </c>
      <c r="G39" s="249">
        <f>Q18</f>
        <v>0</v>
      </c>
      <c r="H39" s="250">
        <f>AC18</f>
        <v>0</v>
      </c>
      <c r="I39" s="250"/>
      <c r="J39" s="250"/>
      <c r="K39" s="251">
        <f>(H39)*0.1</f>
        <v>0</v>
      </c>
      <c r="L39" s="251"/>
      <c r="M39" s="252">
        <f>IF($C$5="s",IF(SUM($H$41)&lt;=1000000,SUM(H39)*0.02,SUM(H39)*0.01),0)</f>
        <v>0</v>
      </c>
      <c r="N39" s="252"/>
      <c r="O39" s="253">
        <f>(M39*(0.04))</f>
        <v>0</v>
      </c>
      <c r="P39" s="254">
        <f>(M39+O39)*0.22</f>
        <v>0</v>
      </c>
      <c r="Q39" s="255">
        <f>IF(F39="E",G39*12,0)</f>
        <v>0</v>
      </c>
      <c r="R39" s="256">
        <f>BW39*0.22</f>
        <v>0</v>
      </c>
      <c r="S39" s="257">
        <f>IF(F39="E",H39*1.5%,0)</f>
        <v>0</v>
      </c>
      <c r="T39" s="258">
        <f>S39*0.02</f>
        <v>0</v>
      </c>
      <c r="U39" s="259">
        <f>(S39+T39)*0.22</f>
        <v>0</v>
      </c>
      <c r="V39" s="255">
        <f>H39*0.15</f>
        <v>0</v>
      </c>
      <c r="W39" s="253">
        <f>V39*0.04</f>
        <v>0</v>
      </c>
      <c r="X39" s="260">
        <f>0.22*(W39+V39)</f>
        <v>0</v>
      </c>
      <c r="Y39" s="261">
        <f>SUM(K39:X39)-Q39+BW39</f>
        <v>0</v>
      </c>
      <c r="Z39" s="262">
        <f>Y39+H39</f>
        <v>0</v>
      </c>
      <c r="AA39" s="262"/>
      <c r="AB39" s="240"/>
      <c r="AC39" s="240"/>
      <c r="AF39" s="151"/>
      <c r="AG39" s="151"/>
      <c r="AH39" s="241">
        <f>IF($N18="E",$T18,0)</f>
        <v>0</v>
      </c>
      <c r="AI39" s="241">
        <f>IF(OR($F39="E",$F39="E"),$G39,0)</f>
        <v>0</v>
      </c>
      <c r="AJ39" s="241">
        <f>IF(OR($F39="B",$F39="C"),$G39,0)</f>
        <v>0</v>
      </c>
      <c r="AK39" s="241">
        <f>IF($F39="A",$G39,0)</f>
        <v>0</v>
      </c>
      <c r="AL39" s="241">
        <f>IF($N18="A",$F18,0)</f>
        <v>0</v>
      </c>
      <c r="AM39" s="241">
        <f>IF(AND($F39="A",$F18&gt;0),$G39,0)</f>
        <v>0</v>
      </c>
      <c r="AN39" s="241">
        <f>IF($F18&gt;0,$G39,0)</f>
        <v>0</v>
      </c>
      <c r="AQ39" s="242">
        <f>IF($N18="E",$R18/'DATI (2)'!$E$13,0)</f>
        <v>0</v>
      </c>
      <c r="AR39" s="242">
        <f>IF($N18="E",$S18/'DATI (2)'!$E$14,0)</f>
        <v>0</v>
      </c>
      <c r="AS39" s="243">
        <f>($R18)/'DATI (2)'!$E$13</f>
        <v>0</v>
      </c>
      <c r="AT39" s="243">
        <f>$S18/'DATI (2)'!$E$14</f>
        <v>0</v>
      </c>
      <c r="AV39" s="242">
        <f>IF(AND($F39="E",$F18&gt;0),$R18/'DATI (2)'!$E$13,0)</f>
        <v>0</v>
      </c>
      <c r="AW39" s="244">
        <f>IF(AND($F39="E",$F18&gt;0),$Z39,0)</f>
        <v>0</v>
      </c>
      <c r="AX39" s="242">
        <f>IF(AND($F39="E",$F18=0),$R18/'DATI (2)'!$E$13,0)</f>
        <v>0</v>
      </c>
      <c r="AY39" s="244">
        <f>IF(AND($F39="E",$F18=0,R18&gt;0),$Z39*$BT39,0)</f>
        <v>0</v>
      </c>
      <c r="AZ39" s="242">
        <f>IF(AND($F39="E"),$S18/'DATI (2)'!$E$13,0)</f>
        <v>0</v>
      </c>
      <c r="BA39" s="244">
        <f>IF(AND($F39="E",$S18&gt;0),$Z39*$BU39,0)</f>
        <v>0</v>
      </c>
      <c r="BC39" s="242">
        <f>IF(AND(OR($F39="B",$F39="C"),$F18&gt;0),$R18/'DATI (2)'!$E$13,0)</f>
        <v>0</v>
      </c>
      <c r="BD39" s="244">
        <f>IF(AND(AND(OR($F39="B",$F39="C")),$F18&gt;0),$Z39,0)</f>
        <v>0</v>
      </c>
      <c r="BE39" s="242">
        <f>IF(AND(OR($F39="B",$F39="C"),$F18=0),$R18/'DATI (2)'!$E$13,0)</f>
        <v>0</v>
      </c>
      <c r="BF39" s="244">
        <f>IF(AND((OR($F39="B",$F39="C")),$F18=0,R18&gt;0),$Z39*$BT39,0)</f>
        <v>0</v>
      </c>
      <c r="BG39" s="242">
        <f>IF(AND(OR($F39="B",$F39="C")),$S18/'DATI (2)'!$E$13,0)</f>
        <v>0</v>
      </c>
      <c r="BH39" s="244">
        <f>IF(AND((OR($F39="B",$F39="C")),$S18&gt;0),$Z39*$BU39,0)</f>
        <v>0</v>
      </c>
      <c r="BJ39" s="242">
        <f>IF(AND($F39="A",$F18&gt;0),$R18/'DATI (2)'!$E$13,0)</f>
        <v>0</v>
      </c>
      <c r="BK39" s="244">
        <f>IF(AND($F39="a",$F18&gt;0),$Z39,0)</f>
        <v>0</v>
      </c>
      <c r="BL39" s="242">
        <f>IF(AND($F39="A",$F18=0),$R18/'DATI (2)'!$E$13,0)</f>
        <v>0</v>
      </c>
      <c r="BM39" s="244">
        <f>IF(AND($F39="a",$F18=0,R18&gt;0),$Z39*$BT39,0)</f>
        <v>0</v>
      </c>
      <c r="BN39" s="242">
        <f>IF(AND($F39="A"),$S18/'DATI (2)'!$E$13,0)</f>
        <v>0</v>
      </c>
      <c r="BO39" s="244">
        <f>IF(AND($F39="a",$S18&gt;0),$Z39*$BU39,0)</f>
        <v>0</v>
      </c>
      <c r="BQ39" s="245">
        <f>Q18</f>
        <v>0</v>
      </c>
      <c r="BR39" s="245">
        <f>R18/'DATI (2)'!$E$13</f>
        <v>0</v>
      </c>
      <c r="BS39" s="245">
        <f>S18/'DATI (2)'!$E$14</f>
        <v>0</v>
      </c>
      <c r="BT39" s="245" t="e">
        <f>BR39/BQ39</f>
        <v>#DIV/0!</v>
      </c>
      <c r="BU39" s="245" t="e">
        <f>BS39/BQ39</f>
        <v>#DIV/0!</v>
      </c>
      <c r="BW39" s="68">
        <f>IF(F39="E",$Q$41*G39/$AI$41,0)</f>
        <v>0</v>
      </c>
    </row>
    <row r="40" spans="4:75" ht="19.5" customHeight="1">
      <c r="D40" s="265"/>
      <c r="E40" s="266"/>
      <c r="F40" s="267"/>
      <c r="G40" s="268"/>
      <c r="H40" s="269">
        <f>AC19</f>
        <v>0</v>
      </c>
      <c r="I40" s="269"/>
      <c r="J40" s="269"/>
      <c r="K40" s="270">
        <f>(H40)*0.1</f>
        <v>0</v>
      </c>
      <c r="L40" s="270"/>
      <c r="M40" s="271">
        <f>IF($C$5="s",IF(SUM($H$41)&lt;=1000000,SUM(H40)*0.02,SUM(H40)*0.01),0)</f>
        <v>0</v>
      </c>
      <c r="N40" s="271"/>
      <c r="O40" s="272">
        <f>(M40*(0.04))</f>
        <v>0</v>
      </c>
      <c r="P40" s="273">
        <f>(M40+O40)*0.22</f>
        <v>0</v>
      </c>
      <c r="Q40" s="274">
        <f>IF(F40="E",G40*12,0)</f>
        <v>0</v>
      </c>
      <c r="R40" s="275">
        <f>BW40*0.22</f>
        <v>0</v>
      </c>
      <c r="S40" s="299">
        <f>IF(F40="E",H40*1.5%,0)</f>
        <v>0</v>
      </c>
      <c r="T40" s="300">
        <f>S40*0.02</f>
        <v>0</v>
      </c>
      <c r="U40" s="301">
        <f>(S40+T40)*0.22</f>
        <v>0</v>
      </c>
      <c r="V40" s="274">
        <f>H40*0.15</f>
        <v>0</v>
      </c>
      <c r="W40" s="272">
        <f>V40*0.04</f>
        <v>0</v>
      </c>
      <c r="X40" s="276">
        <f>0.22*(W40+V40)</f>
        <v>0</v>
      </c>
      <c r="Y40" s="277">
        <f>SUM(K40:X40)-Q40+BW40</f>
        <v>0</v>
      </c>
      <c r="Z40" s="278">
        <f>Y40+H40</f>
        <v>0</v>
      </c>
      <c r="AA40" s="278"/>
      <c r="AB40" s="240"/>
      <c r="AC40" s="240"/>
      <c r="AF40" s="151"/>
      <c r="AG40" s="151"/>
      <c r="AH40" s="279">
        <f>IF($N19="E",$T19,0)</f>
        <v>0</v>
      </c>
      <c r="AI40" s="241">
        <f>IF(OR($F40="E",$F40="E"),$G40,0)</f>
        <v>0</v>
      </c>
      <c r="AJ40" s="279">
        <f>IF(OR($F40="B",$F40="C"),$G40,0)</f>
        <v>0</v>
      </c>
      <c r="AK40" s="279">
        <f>IF($F40="A",$G40,0)</f>
        <v>0</v>
      </c>
      <c r="AL40" s="279">
        <f>IF($N19="A",$F19,0)</f>
        <v>0</v>
      </c>
      <c r="AM40" s="241">
        <f>IF(AND($F40="A",$F19&gt;0),$G40,0)</f>
        <v>0</v>
      </c>
      <c r="AN40" s="241">
        <f>IF($F19&gt;0,$G40,0)</f>
        <v>0</v>
      </c>
      <c r="AQ40" s="242">
        <f>IF($N19="E",$R19/'DATI (2)'!$E$13,0)</f>
        <v>0</v>
      </c>
      <c r="AR40" s="242">
        <f>IF($N19="E",$S19/'DATI (2)'!$E$14,0)</f>
        <v>0</v>
      </c>
      <c r="AS40" s="243">
        <f>($R19)/'DATI (2)'!$E$13</f>
        <v>0</v>
      </c>
      <c r="AT40" s="243">
        <f>$S19/'DATI (2)'!$E$14</f>
        <v>0</v>
      </c>
      <c r="AV40" s="242">
        <f>IF(AND($F40="E",$F19&gt;0),$R19/'DATI (2)'!$E$13,0)</f>
        <v>0</v>
      </c>
      <c r="AW40" s="244">
        <f>IF(AND($F40="E",$F19&gt;0),$Z40,0)</f>
        <v>0</v>
      </c>
      <c r="AX40" s="242">
        <f>IF(AND($F40="E",$F19=0),$R19/'DATI (2)'!$E$13,0)</f>
        <v>0</v>
      </c>
      <c r="AY40" s="244">
        <f>IF(AND($F40="E",$F19=0,R19&gt;0),$Z40*$BT40,0)</f>
        <v>0</v>
      </c>
      <c r="AZ40" s="242">
        <f>IF(AND($F40="E"),$S19/'DATI (2)'!$E$13,0)</f>
        <v>0</v>
      </c>
      <c r="BA40" s="244">
        <f>IF(AND($F40="E",$S19&gt;0),$Z40*$BU40,0)</f>
        <v>0</v>
      </c>
      <c r="BC40" s="242">
        <f>IF(AND(OR($F40="B",$F40="C"),$F19&gt;0),$R19/'DATI (2)'!$E$13,0)</f>
        <v>0</v>
      </c>
      <c r="BD40" s="244">
        <f>IF(AND(AND(OR($F40="B",$F40="C")),$F19&gt;0),$Z40,0)</f>
        <v>0</v>
      </c>
      <c r="BE40" s="242">
        <f>IF(AND(OR($F40="B",$F40="C"),$F19=0),$R19/'DATI (2)'!$E$13,0)</f>
        <v>0</v>
      </c>
      <c r="BF40" s="244">
        <f>IF(AND((OR($F40="B",$F40="C")),$F19=0,R19&gt;0),$Z40*$BT40,0)</f>
        <v>0</v>
      </c>
      <c r="BG40" s="242">
        <f>IF(AND(OR($F40="B",$F40="C")),$S19/'DATI (2)'!$E$13,0)</f>
        <v>0</v>
      </c>
      <c r="BH40" s="244">
        <f>IF(AND((OR($F40="B",$F40="C")),$S19&gt;0),$Z40*$BU40,0)</f>
        <v>0</v>
      </c>
      <c r="BJ40" s="242">
        <f>IF(AND($F40="A",$F19&gt;0),$R19/'DATI (2)'!$E$13,0)</f>
        <v>0</v>
      </c>
      <c r="BK40" s="244">
        <f>IF(AND($F40="a",$F19&gt;0),$Z40,0)</f>
        <v>0</v>
      </c>
      <c r="BL40" s="242">
        <f>IF(AND($F40="A",$F19=0),$R19/'DATI (2)'!$E$13,0)</f>
        <v>0</v>
      </c>
      <c r="BM40" s="244">
        <f>IF(AND($F40="a",$F19=0,R19&gt;0),$Z40*$BT40,0)</f>
        <v>0</v>
      </c>
      <c r="BN40" s="242">
        <f>IF(AND($F40="A"),$S19/'DATI (2)'!$E$13,0)</f>
        <v>0</v>
      </c>
      <c r="BO40" s="244">
        <f>IF(AND($F40="a",$S19&gt;0),$Z40*$BU40,0)</f>
        <v>0</v>
      </c>
      <c r="BQ40" s="245">
        <f>Q19</f>
      </c>
      <c r="BR40" s="245">
        <f>R19/'DATI (2)'!$E$13</f>
        <v>0</v>
      </c>
      <c r="BS40" s="245">
        <f>S19/'DATI (2)'!$E$14</f>
        <v>0</v>
      </c>
      <c r="BT40" s="245" t="e">
        <f>BR40/BQ40</f>
        <v>#DIV/0!</v>
      </c>
      <c r="BU40" s="245" t="e">
        <f>BS40/BQ40</f>
        <v>#DIV/0!</v>
      </c>
      <c r="BW40" s="68">
        <f>IF(F40="E",$Q$41*G40/$AI$41,0)</f>
        <v>0</v>
      </c>
    </row>
    <row r="41" spans="4:75" s="196" customFormat="1" ht="21" customHeight="1">
      <c r="D41" s="280" t="s">
        <v>125</v>
      </c>
      <c r="E41" s="280"/>
      <c r="F41" s="280"/>
      <c r="G41" s="280"/>
      <c r="H41" s="281">
        <f>SUM(H26:H40)</f>
        <v>522605.35040000005</v>
      </c>
      <c r="I41" s="281"/>
      <c r="J41" s="281"/>
      <c r="K41" s="282">
        <f>SUM(K26:K40)</f>
        <v>52260.53504</v>
      </c>
      <c r="L41" s="282"/>
      <c r="M41" s="282">
        <f>SUM(M26:M40)</f>
        <v>10452.107008</v>
      </c>
      <c r="N41" s="282"/>
      <c r="O41" s="283">
        <f>SUM(O26:O40)</f>
        <v>418.08428031999995</v>
      </c>
      <c r="P41" s="283">
        <f>SUM(P26:P40)</f>
        <v>2391.4420834304</v>
      </c>
      <c r="Q41" s="283">
        <f>IF(A5&gt;0,MIN(MAXA(5000,(SUM(Q26:Q40))),20000),0)</f>
        <v>6043.200000000001</v>
      </c>
      <c r="R41" s="283">
        <f>Q41*0.22</f>
        <v>1329.5040000000001</v>
      </c>
      <c r="S41" s="283">
        <f>SUM(S26:S40)</f>
        <v>7839.080256</v>
      </c>
      <c r="T41" s="283">
        <f>SUM(T26:T40)</f>
        <v>156.78160512</v>
      </c>
      <c r="U41" s="283">
        <f>SUM(U26:U40)</f>
        <v>1759.0896094463997</v>
      </c>
      <c r="V41" s="283">
        <f>SUM(V26:V40)</f>
        <v>78390.80256</v>
      </c>
      <c r="W41" s="283">
        <f>SUM(W26:W40)</f>
        <v>3135.6321024</v>
      </c>
      <c r="X41" s="283">
        <f>SUM(X26:X40)</f>
        <v>17935.815625728</v>
      </c>
      <c r="Y41" s="283">
        <f>SUM(Y26:Y40)</f>
        <v>182112.0741704448</v>
      </c>
      <c r="Z41" s="284">
        <f>SUM(Z26:AA40)</f>
        <v>704717.4245704447</v>
      </c>
      <c r="AA41" s="284"/>
      <c r="AB41" s="284"/>
      <c r="AC41" s="285"/>
      <c r="AF41" s="286"/>
      <c r="AG41" s="287" t="s">
        <v>125</v>
      </c>
      <c r="AH41" s="288">
        <f>SUM(AH26:AH40)</f>
        <v>409.36</v>
      </c>
      <c r="AI41" s="288">
        <f>SUM(AI26:AI40)</f>
        <v>503.6</v>
      </c>
      <c r="AJ41" s="288">
        <f>SUM(AJ26:AJ40)</f>
        <v>0</v>
      </c>
      <c r="AK41" s="288">
        <f>SUM(AK26:AK40)-AM41</f>
        <v>0</v>
      </c>
      <c r="AL41" s="288">
        <f>SUM(AL26:AL40)</f>
        <v>0</v>
      </c>
      <c r="AM41" s="288">
        <f>SUM(AM26:AM40)</f>
        <v>0</v>
      </c>
      <c r="AN41" s="288">
        <f>SUM(AN26:AN40)</f>
        <v>0</v>
      </c>
      <c r="AQ41" s="289">
        <f>SUM(AQ26:AQ40)</f>
        <v>448.6</v>
      </c>
      <c r="AR41" s="289">
        <f>SUM(AR26:AR40)</f>
        <v>55</v>
      </c>
      <c r="AS41" s="289">
        <f>SUM(AS26:AS40)</f>
        <v>448.6</v>
      </c>
      <c r="AT41" s="289">
        <f>SUM(AT26:AT40)</f>
        <v>55</v>
      </c>
      <c r="AU41" s="70"/>
      <c r="AV41" s="289">
        <f>SUM(AV26:AV40)</f>
        <v>0</v>
      </c>
      <c r="AW41" s="290">
        <f>SUM(AW26:AW40)</f>
        <v>0</v>
      </c>
      <c r="AX41" s="289">
        <f>SUM(AX26:AX40)</f>
        <v>448.6</v>
      </c>
      <c r="AY41" s="290">
        <f>SUM(AY26:AY40)</f>
        <v>656129.0522722208</v>
      </c>
      <c r="AZ41" s="289">
        <f>SUM(AZ26:AZ40)</f>
        <v>55</v>
      </c>
      <c r="BA41" s="290">
        <f>SUM(BA26:BA40)</f>
        <v>48588.372298224</v>
      </c>
      <c r="BB41" s="68"/>
      <c r="BC41" s="289">
        <f>SUM(BC26:BC40)</f>
        <v>0</v>
      </c>
      <c r="BD41" s="290">
        <f>SUM(BD26:BD40)</f>
        <v>0</v>
      </c>
      <c r="BE41" s="289">
        <f>SUM(BE26:BE40)</f>
        <v>0</v>
      </c>
      <c r="BF41" s="290">
        <f>SUM(BF26:BF40)</f>
        <v>0</v>
      </c>
      <c r="BG41" s="289">
        <f>SUM(BG26:BG40)</f>
        <v>0</v>
      </c>
      <c r="BH41" s="289">
        <f>SUM(BH26:BH40)</f>
        <v>0</v>
      </c>
      <c r="BI41" s="68"/>
      <c r="BJ41" s="289">
        <f>SUM(BJ26:BJ40)</f>
        <v>0</v>
      </c>
      <c r="BK41" s="290">
        <f>SUM(BK26:BK40)</f>
        <v>0</v>
      </c>
      <c r="BL41" s="289">
        <f>SUM(BL26:BL40)</f>
        <v>0</v>
      </c>
      <c r="BM41" s="290">
        <f>SUM(BM26:BM40)</f>
        <v>0</v>
      </c>
      <c r="BN41" s="289">
        <f>SUM(BN26:BN40)</f>
        <v>0</v>
      </c>
      <c r="BO41" s="289">
        <f>SUM(BO26:BO40)</f>
        <v>0</v>
      </c>
      <c r="BW41" s="196">
        <f>SUM(BW26:BW40)</f>
        <v>6043.200000000001</v>
      </c>
    </row>
    <row r="42" spans="32:67" ht="12.75">
      <c r="AF42" s="291"/>
      <c r="AG42" s="292" t="s">
        <v>126</v>
      </c>
      <c r="AH42" s="293">
        <f>COUNTIF($N$5:$N$19,"E")</f>
        <v>5</v>
      </c>
      <c r="AI42" s="294">
        <f>COUNTIF($N$5:$N$19,"B")+COUNTIF($N$5:$N$19,"C")</f>
        <v>0</v>
      </c>
      <c r="AJ42" s="294">
        <f>COUNTIF($N$5:$N$19,"B")+COUNTIF($N$5:$N$19,"C")</f>
        <v>0</v>
      </c>
      <c r="AK42" s="294">
        <f>AK43-AL42</f>
        <v>0</v>
      </c>
      <c r="AL42" s="294">
        <f>SUM(AL26:AL40)</f>
        <v>0</v>
      </c>
      <c r="AM42" s="294">
        <f>SUM(AM26:AM40)</f>
        <v>0</v>
      </c>
      <c r="AN42" s="294">
        <f>SUM(AN26:AN40)</f>
        <v>0</v>
      </c>
      <c r="AQ42" s="295">
        <f>COUNTIF($P$4:$P$18,"E")</f>
        <v>0</v>
      </c>
      <c r="AR42" s="295"/>
      <c r="AS42" s="295">
        <f>COUNTIF($P$4:$P$18,"E")</f>
        <v>0</v>
      </c>
      <c r="AT42" s="295">
        <f>COUNTIF($P$4:$P$18,"E")</f>
        <v>0</v>
      </c>
      <c r="AV42" s="295">
        <f>COUNTIF(AV26:AV40,"&gt;0")</f>
        <v>0</v>
      </c>
      <c r="AW42" s="295"/>
      <c r="AX42" s="295">
        <f>COUNTIF(AX26:AX40,"&gt;0")</f>
        <v>4</v>
      </c>
      <c r="AY42" s="295"/>
      <c r="AZ42" s="295">
        <f>COUNTIF(AZ26:AZ40,"&gt;0")</f>
        <v>1</v>
      </c>
      <c r="BA42" s="295"/>
      <c r="BC42" s="295">
        <f>COUNTIF(BC26:BC40,"&gt;0")</f>
        <v>0</v>
      </c>
      <c r="BD42" s="295"/>
      <c r="BE42" s="295">
        <f>COUNTIF(BE26:BE40,"&gt;0")</f>
        <v>0</v>
      </c>
      <c r="BF42" s="295"/>
      <c r="BG42" s="295">
        <f>COUNTIF(BG26:BG40,"&gt;0")</f>
        <v>0</v>
      </c>
      <c r="BH42" s="295">
        <f>COUNTIF(BH26:BH40,"&gt;0")</f>
        <v>0</v>
      </c>
      <c r="BJ42" s="295">
        <f>COUNTIF(BJ26:BJ40,"&gt;0")</f>
        <v>0</v>
      </c>
      <c r="BK42" s="295"/>
      <c r="BL42" s="295">
        <f>COUNTIF(BL26:BL40,"&gt;0")</f>
        <v>0</v>
      </c>
      <c r="BM42" s="295"/>
      <c r="BN42" s="295">
        <f>COUNTIF(BN26:BN40,"&gt;0")</f>
        <v>0</v>
      </c>
      <c r="BO42" s="295">
        <f>COUNTIF(BO26:BO40,"&gt;0")</f>
        <v>0</v>
      </c>
    </row>
    <row r="43" spans="4:39" ht="12.75">
      <c r="D43" s="68" t="s">
        <v>127</v>
      </c>
      <c r="AF43" s="151"/>
      <c r="AG43" s="151"/>
      <c r="AH43" s="151"/>
      <c r="AI43" s="296" t="s">
        <v>128</v>
      </c>
      <c r="AJ43" s="296" t="s">
        <v>128</v>
      </c>
      <c r="AK43" s="297">
        <f>COUNTIF($N$5:$N$19,"A")</f>
        <v>0</v>
      </c>
      <c r="AL43" s="151"/>
      <c r="AM43" s="151"/>
    </row>
    <row r="44" spans="4:39" ht="12.75">
      <c r="D44" s="68" t="s">
        <v>129</v>
      </c>
      <c r="AF44" s="151"/>
      <c r="AG44" s="151"/>
      <c r="AH44" s="151"/>
      <c r="AI44" s="296" t="s">
        <v>128</v>
      </c>
      <c r="AJ44" s="296" t="s">
        <v>128</v>
      </c>
      <c r="AK44" s="294">
        <f>SUM(AK26:AK40)</f>
        <v>0</v>
      </c>
      <c r="AL44" s="151"/>
      <c r="AM44" s="151"/>
    </row>
    <row r="45" spans="4:64" ht="12.75">
      <c r="D45" s="68" t="s">
        <v>130</v>
      </c>
      <c r="AF45" s="151"/>
      <c r="AG45" s="151"/>
      <c r="AH45" s="151"/>
      <c r="AI45" s="68" t="s">
        <v>131</v>
      </c>
      <c r="AJ45" s="151"/>
      <c r="AK45" s="294">
        <f>(SUM(S5:S19)/'DATI (2)'!$E$14)</f>
        <v>55</v>
      </c>
      <c r="AL45" s="151"/>
      <c r="AM45" s="151"/>
      <c r="BJ45" s="264">
        <f>$BM$41+$BK$41+$BO$41+$BH$41+$BF$41+$BD$41+$BA$41+$AY$41+$AW$41</f>
        <v>704717.4245704449</v>
      </c>
      <c r="BK45" s="264">
        <f>$Z$41</f>
        <v>704717.4245704447</v>
      </c>
      <c r="BL45" s="264">
        <f>BJ45-BK45</f>
        <v>0</v>
      </c>
    </row>
    <row r="46" spans="20:42" ht="12.75">
      <c r="T46" s="198"/>
      <c r="AF46" s="151"/>
      <c r="AG46" s="151"/>
      <c r="AH46" s="151"/>
      <c r="AI46" s="151"/>
      <c r="AJ46" s="151"/>
      <c r="AK46" s="151"/>
      <c r="AL46" s="151"/>
      <c r="AM46" s="71"/>
      <c r="AN46" s="71"/>
      <c r="AO46" s="71"/>
      <c r="AP46" s="71"/>
    </row>
    <row r="47" spans="32:42" ht="12.75"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</row>
    <row r="48" spans="32:42" ht="12.75"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</row>
    <row r="49" spans="32:42" ht="12.75"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</row>
  </sheetData>
  <sheetProtection selectLockedCells="1" selectUnlockedCells="1"/>
  <mergeCells count="78">
    <mergeCell ref="D3:T3"/>
    <mergeCell ref="U3:AC3"/>
    <mergeCell ref="D24:X24"/>
    <mergeCell ref="Y24:AC24"/>
    <mergeCell ref="AI24:AK24"/>
    <mergeCell ref="AL24:AM24"/>
    <mergeCell ref="AV24:BO24"/>
    <mergeCell ref="H25:J25"/>
    <mergeCell ref="K25:L25"/>
    <mergeCell ref="M25:N25"/>
    <mergeCell ref="Z25:AA25"/>
    <mergeCell ref="AB25:AC25"/>
    <mergeCell ref="H26:J26"/>
    <mergeCell ref="K26:L26"/>
    <mergeCell ref="M26:N26"/>
    <mergeCell ref="Z26:AA26"/>
    <mergeCell ref="AB26:AC40"/>
    <mergeCell ref="H27:J27"/>
    <mergeCell ref="K27:L27"/>
    <mergeCell ref="M27:N27"/>
    <mergeCell ref="Z27:AA27"/>
    <mergeCell ref="H28:J28"/>
    <mergeCell ref="K28:L28"/>
    <mergeCell ref="M28:N28"/>
    <mergeCell ref="Z28:AA28"/>
    <mergeCell ref="H29:J29"/>
    <mergeCell ref="K29:L29"/>
    <mergeCell ref="M29:N29"/>
    <mergeCell ref="Z29:AA29"/>
    <mergeCell ref="H30:J30"/>
    <mergeCell ref="K30:L30"/>
    <mergeCell ref="M30:N30"/>
    <mergeCell ref="Z30:AA30"/>
    <mergeCell ref="H31:J31"/>
    <mergeCell ref="K31:L31"/>
    <mergeCell ref="M31:N31"/>
    <mergeCell ref="Z31:AA31"/>
    <mergeCell ref="H32:J32"/>
    <mergeCell ref="K32:L32"/>
    <mergeCell ref="M32:N32"/>
    <mergeCell ref="Z32:AA32"/>
    <mergeCell ref="H33:J33"/>
    <mergeCell ref="K33:L33"/>
    <mergeCell ref="M33:N33"/>
    <mergeCell ref="Z33:AA33"/>
    <mergeCell ref="H34:J34"/>
    <mergeCell ref="K34:L34"/>
    <mergeCell ref="M34:N34"/>
    <mergeCell ref="Z34:AA34"/>
    <mergeCell ref="H35:J35"/>
    <mergeCell ref="K35:L35"/>
    <mergeCell ref="M35:N35"/>
    <mergeCell ref="Z35:AA35"/>
    <mergeCell ref="H36:J36"/>
    <mergeCell ref="K36:L36"/>
    <mergeCell ref="M36:N36"/>
    <mergeCell ref="Z36:AA36"/>
    <mergeCell ref="H37:J37"/>
    <mergeCell ref="K37:L37"/>
    <mergeCell ref="M37:N37"/>
    <mergeCell ref="Z37:AA37"/>
    <mergeCell ref="H38:J38"/>
    <mergeCell ref="K38:L38"/>
    <mergeCell ref="M38:N38"/>
    <mergeCell ref="Z38:AA38"/>
    <mergeCell ref="H39:J39"/>
    <mergeCell ref="K39:L39"/>
    <mergeCell ref="M39:N39"/>
    <mergeCell ref="Z39:AA39"/>
    <mergeCell ref="H40:J40"/>
    <mergeCell ref="K40:L40"/>
    <mergeCell ref="M40:N40"/>
    <mergeCell ref="Z40:AA40"/>
    <mergeCell ref="D41:G41"/>
    <mergeCell ref="H41:J41"/>
    <mergeCell ref="K41:L41"/>
    <mergeCell ref="M41:N41"/>
    <mergeCell ref="Z41:AA41"/>
  </mergeCells>
  <conditionalFormatting sqref="S26:U4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49"/>
  <sheetViews>
    <sheetView zoomScale="75" zoomScaleNormal="75" zoomScaleSheetLayoutView="70" workbookViewId="0" topLeftCell="AW22">
      <selection activeCell="P8" sqref="P8"/>
    </sheetView>
  </sheetViews>
  <sheetFormatPr defaultColWidth="9.140625" defaultRowHeight="12.75"/>
  <cols>
    <col min="1" max="1" width="12.140625" style="68" customWidth="1"/>
    <col min="2" max="2" width="7.57421875" style="68" customWidth="1"/>
    <col min="3" max="3" width="10.140625" style="68" customWidth="1"/>
    <col min="4" max="5" width="10.421875" style="68" customWidth="1"/>
    <col min="6" max="6" width="7.7109375" style="68" customWidth="1"/>
    <col min="7" max="7" width="14.57421875" style="68" customWidth="1"/>
    <col min="8" max="9" width="13.00390625" style="68" customWidth="1"/>
    <col min="10" max="10" width="22.140625" style="68" customWidth="1"/>
    <col min="11" max="12" width="8.28125" style="68" customWidth="1"/>
    <col min="13" max="13" width="11.28125" style="68" customWidth="1"/>
    <col min="14" max="14" width="12.57421875" style="69" customWidth="1"/>
    <col min="15" max="15" width="25.28125" style="69" customWidth="1"/>
    <col min="16" max="16" width="16.57421875" style="69" customWidth="1"/>
    <col min="17" max="17" width="15.28125" style="69" customWidth="1"/>
    <col min="18" max="18" width="14.8515625" style="69" customWidth="1"/>
    <col min="19" max="19" width="18.140625" style="69" customWidth="1"/>
    <col min="20" max="20" width="27.140625" style="69" customWidth="1"/>
    <col min="21" max="21" width="21.7109375" style="68" customWidth="1"/>
    <col min="22" max="22" width="20.7109375" style="68" customWidth="1"/>
    <col min="23" max="23" width="19.7109375" style="68" customWidth="1"/>
    <col min="24" max="24" width="21.140625" style="68" customWidth="1"/>
    <col min="25" max="25" width="19.8515625" style="68" customWidth="1"/>
    <col min="26" max="26" width="10.421875" style="68" customWidth="1"/>
    <col min="27" max="28" width="21.57421875" style="68" customWidth="1"/>
    <col min="29" max="29" width="21.140625" style="68" customWidth="1"/>
    <col min="30" max="31" width="1.421875" style="68" customWidth="1"/>
    <col min="32" max="32" width="12.28125" style="68" customWidth="1"/>
    <col min="33" max="33" width="7.7109375" style="68" customWidth="1"/>
    <col min="34" max="34" width="12.421875" style="68" customWidth="1"/>
    <col min="35" max="35" width="12.140625" style="68" customWidth="1"/>
    <col min="36" max="36" width="9.28125" style="68" customWidth="1"/>
    <col min="37" max="37" width="15.28125" style="68" customWidth="1"/>
    <col min="38" max="38" width="12.7109375" style="68" customWidth="1"/>
    <col min="39" max="39" width="11.00390625" style="68" customWidth="1"/>
    <col min="40" max="40" width="12.140625" style="68" customWidth="1"/>
    <col min="41" max="46" width="8.8515625" style="68" customWidth="1"/>
    <col min="47" max="47" width="8.8515625" style="70" customWidth="1"/>
    <col min="48" max="50" width="8.8515625" style="68" customWidth="1"/>
    <col min="51" max="51" width="13.8515625" style="68" customWidth="1"/>
    <col min="52" max="61" width="8.8515625" style="68" customWidth="1"/>
    <col min="62" max="63" width="11.8515625" style="68" customWidth="1"/>
    <col min="64" max="64" width="8.8515625" style="68" customWidth="1"/>
    <col min="65" max="65" width="15.140625" style="68" customWidth="1"/>
    <col min="66" max="16384" width="8.8515625" style="68" customWidth="1"/>
  </cols>
  <sheetData>
    <row r="1" spans="32:42" ht="12.75"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</row>
    <row r="2" spans="4:42" ht="36" customHeight="1"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 t="s">
        <v>33</v>
      </c>
      <c r="P2" s="74"/>
      <c r="Q2" s="73"/>
      <c r="R2" s="73"/>
      <c r="S2" s="73" t="s">
        <v>137</v>
      </c>
      <c r="T2" s="73" t="s">
        <v>35</v>
      </c>
      <c r="U2" s="73" t="s">
        <v>138</v>
      </c>
      <c r="V2" s="73" t="s">
        <v>37</v>
      </c>
      <c r="W2" s="73"/>
      <c r="X2" s="73"/>
      <c r="Y2" s="73"/>
      <c r="Z2" s="73"/>
      <c r="AA2" s="73"/>
      <c r="AB2" s="73"/>
      <c r="AC2" s="75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4:42" ht="25.5" customHeight="1">
      <c r="D3" s="76" t="s">
        <v>38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 t="s">
        <v>39</v>
      </c>
      <c r="V3" s="76"/>
      <c r="W3" s="76"/>
      <c r="X3" s="76"/>
      <c r="Y3" s="76"/>
      <c r="Z3" s="76"/>
      <c r="AA3" s="76"/>
      <c r="AB3" s="76"/>
      <c r="AC3" s="76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47" s="88" customFormat="1" ht="75" customHeight="1">
      <c r="A4" s="77" t="s">
        <v>40</v>
      </c>
      <c r="B4" s="77" t="s">
        <v>41</v>
      </c>
      <c r="C4" s="78" t="s">
        <v>42</v>
      </c>
      <c r="D4" s="79" t="s">
        <v>43</v>
      </c>
      <c r="E4" s="80" t="s">
        <v>44</v>
      </c>
      <c r="F4" s="80" t="s">
        <v>45</v>
      </c>
      <c r="G4" s="80" t="s">
        <v>46</v>
      </c>
      <c r="H4" s="80" t="s">
        <v>47</v>
      </c>
      <c r="I4" s="80" t="s">
        <v>48</v>
      </c>
      <c r="J4" s="80" t="s">
        <v>49</v>
      </c>
      <c r="K4" s="80" t="s">
        <v>50</v>
      </c>
      <c r="L4" s="80" t="s">
        <v>51</v>
      </c>
      <c r="M4" s="81" t="s">
        <v>52</v>
      </c>
      <c r="N4" s="82" t="s">
        <v>53</v>
      </c>
      <c r="O4" s="82" t="s">
        <v>54</v>
      </c>
      <c r="P4" s="82" t="s">
        <v>55</v>
      </c>
      <c r="Q4" s="82" t="s">
        <v>56</v>
      </c>
      <c r="R4" s="82" t="s">
        <v>57</v>
      </c>
      <c r="S4" s="82" t="s">
        <v>58</v>
      </c>
      <c r="T4" s="83" t="s">
        <v>59</v>
      </c>
      <c r="U4" s="82" t="s">
        <v>60</v>
      </c>
      <c r="V4" s="82" t="s">
        <v>134</v>
      </c>
      <c r="W4" s="298" t="s">
        <v>135</v>
      </c>
      <c r="X4" s="82" t="s">
        <v>63</v>
      </c>
      <c r="Y4" s="82" t="s">
        <v>28</v>
      </c>
      <c r="Z4" s="82" t="s">
        <v>64</v>
      </c>
      <c r="AA4" s="82" t="s">
        <v>65</v>
      </c>
      <c r="AB4" s="84" t="s">
        <v>66</v>
      </c>
      <c r="AC4" s="85" t="s">
        <v>67</v>
      </c>
      <c r="AD4" s="86"/>
      <c r="AE4" s="86"/>
      <c r="AF4" s="86"/>
      <c r="AG4" s="86"/>
      <c r="AH4" s="86"/>
      <c r="AI4" s="86"/>
      <c r="AJ4" s="86"/>
      <c r="AK4" s="87"/>
      <c r="AL4" s="86"/>
      <c r="AM4" s="86"/>
      <c r="AN4" s="86"/>
      <c r="AO4" s="86"/>
      <c r="AP4" s="86"/>
      <c r="AU4" s="89"/>
    </row>
    <row r="5" spans="1:42" ht="24" customHeight="1">
      <c r="A5" s="90">
        <f>COUNTIF(N5:N19,"E")</f>
        <v>1</v>
      </c>
      <c r="B5" s="90">
        <v>1</v>
      </c>
      <c r="C5" s="91" t="s">
        <v>68</v>
      </c>
      <c r="D5" s="92">
        <v>20</v>
      </c>
      <c r="E5" s="93"/>
      <c r="F5" s="94">
        <v>1</v>
      </c>
      <c r="G5" s="95"/>
      <c r="H5" s="96" t="s">
        <v>70</v>
      </c>
      <c r="I5" s="97" t="s">
        <v>71</v>
      </c>
      <c r="J5" s="98"/>
      <c r="K5" s="99">
        <v>3.6</v>
      </c>
      <c r="L5" s="99">
        <v>9</v>
      </c>
      <c r="M5" s="99">
        <v>1</v>
      </c>
      <c r="N5" s="100" t="s">
        <v>72</v>
      </c>
      <c r="O5" s="101"/>
      <c r="P5" s="102">
        <v>83</v>
      </c>
      <c r="Q5" s="103">
        <f>IF(P5&gt;0,(P5*K5),"")</f>
        <v>298.8</v>
      </c>
      <c r="R5" s="103">
        <f>IF(N5&lt;&gt;"",Q5*DATI!$E$13-S5,"0,00")</f>
        <v>253.98</v>
      </c>
      <c r="S5" s="102">
        <v>0</v>
      </c>
      <c r="T5" s="104">
        <f>IF(OR(R5&gt;0,S5&gt;0),(R5+S5*0.6),"")</f>
        <v>253.98</v>
      </c>
      <c r="U5" s="105" t="str">
        <f>IF($A$5&gt;0," ",IF(AND(N5="A",F5&gt;0),(9687.52)*F5,IF(AND($A$5=0,C5="S",N5="A",F5=1),9687.52," ")))</f>
        <v> </v>
      </c>
      <c r="V5" s="106">
        <f>IF(AND(N5="A",F5&gt;=0,C5="s",$A$5&gt;0),9687.52*F5+114.01*Q5," ")</f>
        <v>43753.708</v>
      </c>
      <c r="W5" s="107" t="str">
        <f>IF(AND(OR(N5="B",N5="C"),$A$5=0,$C$5="N"),116.25*Q5+'DATI (2)'!$E$4*Q5,IF(AND(OR(N5="B",N5="C"),$A$5=0,$C$5="S"),114.01*Q5+'DATI (2)'!$E$4*Q5," "))</f>
        <v> </v>
      </c>
      <c r="X5" s="106" t="str">
        <f>IF(AND(OR(N5="B",N5="C"),C5="s",$A$5&gt;0),114.01*1.3*Q5+1.3*'DATI (2)'!$E$4*Q5," ")</f>
        <v> </v>
      </c>
      <c r="Y5" s="106" t="str">
        <f>IF(N5="E",IF(M5=1,'DATI (2)'!$E$7*T5,IF(M5=2,'DATI (2)'!$E$8*T5,IF(M5=3,'DATI (2)'!$E$9*T5)))*B5," ")</f>
        <v> </v>
      </c>
      <c r="Z5" s="108"/>
      <c r="AA5" s="109">
        <f>IF(Z5="X",'DATI (2)'!$E$5*P5*L5,"")</f>
      </c>
      <c r="AB5" s="110">
        <f>IF(G5="X",-SUM(U5:Y5)*'DATI (2)'!$E$15,"")</f>
      </c>
      <c r="AC5" s="111">
        <f>SUM(U5:AB5)</f>
        <v>43753.708</v>
      </c>
      <c r="AD5" s="71"/>
      <c r="AE5" s="71"/>
      <c r="AF5" s="71"/>
      <c r="AG5" s="71"/>
      <c r="AH5" s="71"/>
      <c r="AI5" s="71"/>
      <c r="AJ5" s="71"/>
      <c r="AK5" s="112"/>
      <c r="AL5" s="71"/>
      <c r="AM5" s="71"/>
      <c r="AN5" s="71"/>
      <c r="AO5" s="71"/>
      <c r="AP5" s="71"/>
    </row>
    <row r="6" spans="1:42" ht="19.5" customHeight="1">
      <c r="A6" s="113"/>
      <c r="B6" s="90">
        <v>1</v>
      </c>
      <c r="C6" s="91" t="s">
        <v>68</v>
      </c>
      <c r="D6" s="114">
        <v>21</v>
      </c>
      <c r="E6" s="115"/>
      <c r="F6" s="116">
        <v>0</v>
      </c>
      <c r="G6" s="117"/>
      <c r="H6" s="118" t="s">
        <v>70</v>
      </c>
      <c r="I6" s="119" t="s">
        <v>71</v>
      </c>
      <c r="J6" s="120"/>
      <c r="K6" s="121">
        <v>3.6</v>
      </c>
      <c r="L6" s="121">
        <v>8.5</v>
      </c>
      <c r="M6" s="121">
        <v>1</v>
      </c>
      <c r="N6" s="122" t="s">
        <v>77</v>
      </c>
      <c r="O6" s="123"/>
      <c r="P6" s="124">
        <v>82.5</v>
      </c>
      <c r="Q6" s="125">
        <f>IF(P6&gt;0,(P6*K6),"")</f>
        <v>297</v>
      </c>
      <c r="R6" s="125">
        <f>IF(N6&lt;&gt;"",Q6*DATI!$E$13-S6,"0,00")</f>
        <v>252.45</v>
      </c>
      <c r="S6" s="124">
        <v>0</v>
      </c>
      <c r="T6" s="126">
        <f>IF(OR(R6&gt;0,S6&gt;0),(R6+S6*0.6),"")</f>
        <v>252.45</v>
      </c>
      <c r="U6" s="127" t="str">
        <f>IF($A$5&gt;0," ",IF(AND(N6="A",F6&gt;0),(9687.52)*F6,IF(AND($A$5=0,C6="S",N6="A",F6=1),9687.52," ")))</f>
        <v> </v>
      </c>
      <c r="V6" s="128" t="str">
        <f>IF(AND(N6="A",F6&gt;=0,C6="s",$A$5&gt;0),9687.52*F6+114.01*Q6," ")</f>
        <v> </v>
      </c>
      <c r="W6" s="129" t="str">
        <f>IF(AND(OR(N6="B",N6="C"),$A$5=0,$C$5="N"),116.25*Q6+'DATI (2)'!$E$4*Q6,IF(AND(OR(N6="B",N6="C"),$A$5=0,$C$5="S"),114.01*Q6+'DATI (2)'!$E$4*Q6," "))</f>
        <v> </v>
      </c>
      <c r="X6" s="128" t="str">
        <f>IF(AND(OR(N6="B",N6="C"),C6="s",$A$5&gt;0),114.01*1.3*Q6+1.3*'DATI (2)'!$E$4*Q6," ")</f>
        <v> </v>
      </c>
      <c r="Y6" s="128">
        <f>IF(N6="E",IF(M6=1,'DATI (2)'!$E$7*T6,IF(M6=2,'DATI (2)'!$E$8*T6,IF(M6=3,'DATI (2)'!$E$9*T6)))*B6," ")</f>
        <v>322287.768</v>
      </c>
      <c r="Z6" s="130"/>
      <c r="AA6" s="131">
        <f>IF(Z6="X",'DATI (2)'!$E$5*P6*L6,"")</f>
      </c>
      <c r="AB6" s="132">
        <f>IF(G6="X",-SUM(U6:Y6)*'DATI (2)'!$E$15,"")</f>
      </c>
      <c r="AC6" s="133">
        <f>SUM(U6:AB6)</f>
        <v>322287.768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42" ht="19.5" customHeight="1">
      <c r="A7" s="113"/>
      <c r="B7" s="90">
        <v>1</v>
      </c>
      <c r="C7" s="91" t="s">
        <v>68</v>
      </c>
      <c r="D7" s="134">
        <v>59</v>
      </c>
      <c r="E7" s="135"/>
      <c r="F7" s="136">
        <v>0</v>
      </c>
      <c r="G7" s="137"/>
      <c r="H7" s="138" t="s">
        <v>76</v>
      </c>
      <c r="I7" s="138" t="s">
        <v>71</v>
      </c>
      <c r="J7" s="139"/>
      <c r="K7" s="140">
        <v>2.6</v>
      </c>
      <c r="L7" s="140">
        <v>7.5</v>
      </c>
      <c r="M7" s="140">
        <v>1</v>
      </c>
      <c r="N7" s="141" t="s">
        <v>72</v>
      </c>
      <c r="O7" s="142"/>
      <c r="P7" s="143">
        <v>58</v>
      </c>
      <c r="Q7" s="125">
        <f>IF(P7&gt;0,(P7*K7),"")</f>
        <v>150.8</v>
      </c>
      <c r="R7" s="125">
        <f>IF(N7&lt;&gt;"",Q7*DATI!$E$13-S7,"0,00")</f>
        <v>128.18</v>
      </c>
      <c r="S7" s="143">
        <v>0</v>
      </c>
      <c r="T7" s="126">
        <f>IF(OR(R7&gt;0,S7&gt;0),(R7+S7*0.6),"")</f>
        <v>128.18</v>
      </c>
      <c r="U7" s="144" t="str">
        <f>IF($A$5&gt;0," ",IF(AND(N7="A",F7&gt;0),(9687.52)*F7,IF(AND($A$5=0,C7="S",N7="A",F7=1),9687.52," ")))</f>
        <v> </v>
      </c>
      <c r="V7" s="128">
        <f>IF(AND(N7="A",F7&gt;=0,C7="s",$A$5&gt;0),9687.52*F7+114.01*Q7," ")</f>
        <v>17192.708000000002</v>
      </c>
      <c r="W7" s="145" t="str">
        <f>IF(AND(OR(N7="B",N7="C"),$A$5=0,$C$5="N"),116.25*Q7+'DATI (2)'!$E$4*Q7,IF(AND(OR(N7="B",N7="C"),$A$5=0,$C$5="S"),114.01*Q7+'DATI (2)'!$E$4*Q7," "))</f>
        <v> </v>
      </c>
      <c r="X7" s="128" t="str">
        <f>IF(AND(OR(N7="B",N7="C"),C7="s",$A$5&gt;0),114.01*1.3*Q7+1.3*'DATI (2)'!$E$4*Q7," ")</f>
        <v> </v>
      </c>
      <c r="Y7" s="128" t="str">
        <f>IF(N7="E",IF(M7=1,'DATI (2)'!$E$7*T7,IF(M7=2,'DATI (2)'!$E$8*T7,IF(M7=3,'DATI (2)'!$E$9*T7)))*B7," ")</f>
        <v> </v>
      </c>
      <c r="Z7" s="130"/>
      <c r="AA7" s="131">
        <f>IF(Z7="X",'DATI (2)'!$E$5*P7*L7,"")</f>
      </c>
      <c r="AB7" s="132">
        <f>IF(G7="X",-SUM(U7:Y7)*'DATI (2)'!$E$15,"")</f>
      </c>
      <c r="AC7" s="133">
        <f>SUM(U7:AB7)</f>
        <v>17192.708000000002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spans="1:42" ht="27" customHeight="1">
      <c r="A8" s="113"/>
      <c r="B8" s="90">
        <v>1</v>
      </c>
      <c r="C8" s="91" t="s">
        <v>68</v>
      </c>
      <c r="D8" s="134"/>
      <c r="E8" s="135"/>
      <c r="F8" s="136"/>
      <c r="G8" s="137"/>
      <c r="H8" s="118"/>
      <c r="I8" s="138"/>
      <c r="J8" s="139"/>
      <c r="K8" s="140"/>
      <c r="L8" s="140"/>
      <c r="M8" s="140"/>
      <c r="N8" s="141"/>
      <c r="O8" s="142"/>
      <c r="P8" s="143"/>
      <c r="Q8" s="125"/>
      <c r="R8" s="125"/>
      <c r="S8" s="143"/>
      <c r="T8" s="126"/>
      <c r="U8" s="144" t="str">
        <f>IF($A$5&gt;0," ",IF(AND(N8="A",F8&gt;0),(9687.52)*F8,IF(AND($A$5=0,C8="S",N8="A",F8=1),9687.52," ")))</f>
        <v> </v>
      </c>
      <c r="V8" s="128" t="str">
        <f>IF(AND(N8="A",F8&gt;=0,C8="s",$A$5&gt;0),9687.52*F8+114.01*Q8," ")</f>
        <v> </v>
      </c>
      <c r="W8" s="145" t="str">
        <f>IF(AND(OR(N8="B",N8="C"),$A$5=0,$C$5="N"),116.25*Q8+'DATI (2)'!$E$4*Q8,IF(AND(OR(N8="B",N8="C"),$A$5=0,$C$5="S"),114.01*Q8+'DATI (2)'!$E$4*Q8," "))</f>
        <v> </v>
      </c>
      <c r="X8" s="128" t="str">
        <f>IF(AND(OR(N8="B",N8="C"),C8="s",$A$5&gt;0),114.01*1.3*Q8+1.3*'DATI (2)'!$E$4*Q8," ")</f>
        <v> </v>
      </c>
      <c r="Y8" s="128" t="str">
        <f>IF(N8="E",IF(M8=1,'DATI (2)'!$E$7*T8,IF(M8=2,'DATI (2)'!$E$8*T8,IF(M8=3,'DATI (2)'!$E$9*T8)))*B8," ")</f>
        <v> </v>
      </c>
      <c r="Z8" s="130"/>
      <c r="AA8" s="131">
        <f>IF(Z8="X",'DATI (2)'!$E$5*P8*L8,"")</f>
      </c>
      <c r="AB8" s="132">
        <f>IF(G8="X",-SUM(U8:Y8)*'DATI (2)'!$E$15,"")</f>
      </c>
      <c r="AC8" s="133">
        <f>SUM(U8:AB8)</f>
        <v>0</v>
      </c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1:42" ht="21" customHeight="1">
      <c r="A9" s="113"/>
      <c r="B9" s="90">
        <v>1</v>
      </c>
      <c r="C9" s="91" t="s">
        <v>68</v>
      </c>
      <c r="D9" s="134"/>
      <c r="E9" s="135"/>
      <c r="F9" s="136"/>
      <c r="G9" s="137"/>
      <c r="H9" s="118"/>
      <c r="I9" s="138"/>
      <c r="J9" s="139"/>
      <c r="K9" s="140"/>
      <c r="L9" s="140"/>
      <c r="M9" s="140"/>
      <c r="N9" s="141"/>
      <c r="O9" s="142"/>
      <c r="P9" s="143"/>
      <c r="Q9" s="125"/>
      <c r="R9" s="125"/>
      <c r="S9" s="143"/>
      <c r="T9" s="126"/>
      <c r="U9" s="144" t="str">
        <f>IF($A$5&gt;0," ",IF(AND(N9="A",F9&gt;0),(9687.52)*F9,IF(AND($A$5=0,C9="S",N9="A",F9=1),9687.52," ")))</f>
        <v> </v>
      </c>
      <c r="V9" s="128" t="str">
        <f>IF(AND(N9="A",F9&gt;=0,C9="s",$A$5&gt;0),9687.52*F9+114.01*Q9," ")</f>
        <v> </v>
      </c>
      <c r="W9" s="145" t="str">
        <f>IF(AND(OR(N9="B",N9="C"),$A$5=0,$C$5="N"),116.25*Q9+'DATI (2)'!$E$4*Q9,IF(AND(OR(N9="B",N9="C"),$A$5=0,$C$5="S"),114.01*Q9+'DATI (2)'!$E$4*Q9," "))</f>
        <v> </v>
      </c>
      <c r="X9" s="128" t="str">
        <f>IF(AND(OR(N9="B",N9="C"),C9="s",$A$5&gt;0),114.01*1.3*Q9+1.3*'DATI (2)'!$E$4*Q9," ")</f>
        <v> </v>
      </c>
      <c r="Y9" s="128" t="str">
        <f>IF(N9="E",IF(M9=1,'DATI (2)'!$E$7*T9,IF(M9=2,'DATI (2)'!$E$8*T9,IF(M9=3,'DATI (2)'!$E$9*T9)))*B9," ")</f>
        <v> </v>
      </c>
      <c r="Z9" s="130"/>
      <c r="AA9" s="131">
        <f>IF(Z9="X",'DATI (2)'!$E$5*P9*L9,"")</f>
      </c>
      <c r="AB9" s="132">
        <f>IF(G9="X",-SUM(U9:Y9)*'DATI (2)'!$E$15,"")</f>
      </c>
      <c r="AC9" s="133">
        <f>SUM(U9:AB9)</f>
        <v>0</v>
      </c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ht="19.5" customHeight="1">
      <c r="A10" s="113"/>
      <c r="B10" s="90">
        <v>1</v>
      </c>
      <c r="C10" s="91" t="s">
        <v>68</v>
      </c>
      <c r="D10" s="134"/>
      <c r="E10" s="135"/>
      <c r="F10" s="136"/>
      <c r="G10" s="137"/>
      <c r="H10" s="118"/>
      <c r="I10" s="138"/>
      <c r="J10" s="139"/>
      <c r="K10" s="140"/>
      <c r="L10" s="140"/>
      <c r="M10" s="140"/>
      <c r="N10" s="141"/>
      <c r="O10" s="142"/>
      <c r="P10" s="146"/>
      <c r="Q10" s="149"/>
      <c r="R10" s="149"/>
      <c r="S10" s="143"/>
      <c r="T10" s="150"/>
      <c r="U10" s="144" t="str">
        <f>IF($A$5&gt;0," ",IF(AND(N10="A",F10&gt;0),(9687.52)*F10,IF(AND($A$5=0,C10="S",N10="A",F10=1),9687.52," ")))</f>
        <v> </v>
      </c>
      <c r="V10" s="128" t="str">
        <f>IF(AND(N10="A",F10&gt;=0,C10="s",$A$5&gt;0),9687.52*F10+114.01*Q10," ")</f>
        <v> </v>
      </c>
      <c r="W10" s="145" t="str">
        <f>IF(AND(OR(N10="B",N10="C"),$A$5=0,$C$5="N"),116.25*Q10+'DATI (2)'!$E$4*Q10,IF(AND(OR(N10="B",N10="C"),$A$5=0,$C$5="S"),114.01*Q10+'DATI (2)'!$E$4*Q10," "))</f>
        <v> </v>
      </c>
      <c r="X10" s="128" t="str">
        <f>IF(AND(OR(N10="B",N10="C"),C10="s",$A$5&gt;0),114.01*1.3*Q10+1.3*'DATI (2)'!$E$4*Q10," ")</f>
        <v> </v>
      </c>
      <c r="Y10" s="128" t="str">
        <f>IF(N10="E",IF(M10=1,'DATI (2)'!$E$7*T10,IF(M10=2,'DATI (2)'!$E$8*T10,IF(M10=3,'DATI (2)'!$E$9*T10)))*B10," ")</f>
        <v> </v>
      </c>
      <c r="Z10" s="130"/>
      <c r="AA10" s="131">
        <f>IF(Z10="X",'DATI (2)'!$E$5*P10*L10,"")</f>
      </c>
      <c r="AB10" s="132">
        <f>IF(G10="X",-SUM(U10:Y10)*'DATI (2)'!$E$15,"")</f>
      </c>
      <c r="AC10" s="133">
        <f>SUM(U10:AB10)</f>
        <v>0</v>
      </c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ht="18" customHeight="1">
      <c r="A11" s="113"/>
      <c r="B11" s="90">
        <v>1</v>
      </c>
      <c r="C11" s="91" t="s">
        <v>68</v>
      </c>
      <c r="D11" s="134"/>
      <c r="E11" s="135"/>
      <c r="F11" s="136"/>
      <c r="G11" s="137"/>
      <c r="H11" s="147"/>
      <c r="I11" s="119"/>
      <c r="J11" s="148"/>
      <c r="K11" s="140"/>
      <c r="L11" s="140"/>
      <c r="M11" s="140"/>
      <c r="N11" s="141"/>
      <c r="O11" s="142"/>
      <c r="P11" s="146"/>
      <c r="Q11" s="149"/>
      <c r="R11" s="149"/>
      <c r="S11" s="143"/>
      <c r="T11" s="150"/>
      <c r="U11" s="144" t="str">
        <f>IF($A$5&gt;0," ",IF(AND(N11="A",F11&gt;0),(9687.52)*F11,IF(AND($A$5=0,C11="S",N11="A",F11=1),9687.52," ")))</f>
        <v> </v>
      </c>
      <c r="V11" s="128" t="str">
        <f>IF(AND(N11="A",F11&gt;=0,C11="s",$A$5&gt;0),9687.52*F11+114.01*Q11," ")</f>
        <v> </v>
      </c>
      <c r="W11" s="145" t="str">
        <f>IF(AND(OR(N11="B",N11="C"),$A$5=0,$C$5="N"),116.25*Q11+'DATI (2)'!$E$4*Q11,IF(AND(OR(N11="B",N11="C"),$A$5=0,$C$5="S"),114.01*Q11+'DATI (2)'!$E$4*Q11," "))</f>
        <v> </v>
      </c>
      <c r="X11" s="128" t="str">
        <f>IF(AND(OR(N11="B",N11="C"),C11="s",$A$5&gt;0),114.01*1.3*Q11+1.3*'DATI (2)'!$E$4*Q11," ")</f>
        <v> </v>
      </c>
      <c r="Y11" s="128" t="str">
        <f>IF(N11="E",IF(M11=1,'DATI (2)'!$E$7*T11,IF(M11=2,'DATI (2)'!$E$8*T11,IF(M11=3,'DATI (2)'!$E$9*T11)))*B11," ")</f>
        <v> </v>
      </c>
      <c r="Z11" s="130"/>
      <c r="AA11" s="131">
        <f>IF(Z11="X",'DATI (2)'!$E$5*P11*L11,"")</f>
      </c>
      <c r="AB11" s="132">
        <f>IF(G11="X",-SUM(U11:Y11)*'DATI (2)'!$E$15,"")</f>
      </c>
      <c r="AC11" s="133">
        <f>SUM(U11:AB11)</f>
        <v>0</v>
      </c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ht="19.5" customHeight="1">
      <c r="A12" s="113"/>
      <c r="B12" s="90">
        <v>1</v>
      </c>
      <c r="C12" s="91" t="s">
        <v>68</v>
      </c>
      <c r="D12" s="134"/>
      <c r="E12" s="135"/>
      <c r="F12" s="136"/>
      <c r="G12" s="137"/>
      <c r="H12" s="118"/>
      <c r="I12" s="138"/>
      <c r="J12" s="148"/>
      <c r="K12" s="140"/>
      <c r="L12" s="140"/>
      <c r="M12" s="140"/>
      <c r="N12" s="141"/>
      <c r="O12" s="142"/>
      <c r="P12" s="143"/>
      <c r="Q12" s="149"/>
      <c r="R12" s="149"/>
      <c r="S12" s="143"/>
      <c r="T12" s="150"/>
      <c r="U12" s="144" t="str">
        <f>IF($A$5&gt;0," ",IF(AND(N12="A",F12&gt;0),(9687.52)*F12,IF(AND($A$5=0,C12="S",N12="A",F12=1),9687.52," ")))</f>
        <v> </v>
      </c>
      <c r="V12" s="128" t="str">
        <f>IF(AND(N12="A",F12&gt;=0,C12="s",$A$5&gt;0),9687.52*F12+114.01*Q12," ")</f>
        <v> </v>
      </c>
      <c r="W12" s="145" t="str">
        <f>IF(AND(OR(N12="B",N12="C"),$A$5=0,$C$5="N"),116.25*Q12+'DATI (2)'!$E$4*Q12,IF(AND(OR(N12="B",N12="C"),$A$5=0,$C$5="S"),114.01*Q12+'DATI (2)'!$E$4*Q12," "))</f>
        <v> </v>
      </c>
      <c r="X12" s="128" t="str">
        <f>IF(AND(OR(N12="B",N12="C"),C12="s",$A$5&gt;0),114.01*1.3*Q12+1.3*'DATI (2)'!$E$4*Q12," ")</f>
        <v> </v>
      </c>
      <c r="Y12" s="128" t="str">
        <f>IF(N12="E",IF(M12=1,'DATI (2)'!$E$7*T12,IF(M12=2,'DATI (2)'!$E$8*T12,IF(M12=3,'DATI (2)'!$E$9*T12)))*B12," ")</f>
        <v> </v>
      </c>
      <c r="Z12" s="130"/>
      <c r="AA12" s="131">
        <f>IF(Z12="X",'DATI (2)'!$E$5*P12*L12,"")</f>
      </c>
      <c r="AB12" s="132">
        <f>IF(G12="X",-SUM(U12:Y12)*'DATI (2)'!$E$15,"")</f>
      </c>
      <c r="AC12" s="133">
        <f>SUM(U12:AB12)</f>
        <v>0</v>
      </c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ht="19.5" customHeight="1">
      <c r="A13" s="113"/>
      <c r="B13" s="90">
        <v>1</v>
      </c>
      <c r="C13" s="91" t="s">
        <v>68</v>
      </c>
      <c r="D13" s="134"/>
      <c r="E13" s="135"/>
      <c r="F13" s="136"/>
      <c r="G13" s="137"/>
      <c r="H13" s="138"/>
      <c r="I13" s="138"/>
      <c r="J13" s="148"/>
      <c r="K13" s="140"/>
      <c r="L13" s="140"/>
      <c r="M13" s="140"/>
      <c r="N13" s="141"/>
      <c r="O13" s="142"/>
      <c r="P13" s="146"/>
      <c r="Q13" s="149"/>
      <c r="R13" s="149"/>
      <c r="S13" s="143"/>
      <c r="T13" s="150"/>
      <c r="U13" s="144" t="str">
        <f>IF($A$5&gt;0," ",IF(AND(N13="A",F13&gt;0),(9687.52)*F13,IF(AND($A$5=0,C13="S",N13="A",F13=1),9687.52," ")))</f>
        <v> </v>
      </c>
      <c r="V13" s="128" t="str">
        <f>IF(AND(N13="A",F13&gt;=0,C13="s",$A$5&gt;0),9687.52*F13+114.01*Q13," ")</f>
        <v> </v>
      </c>
      <c r="W13" s="145" t="str">
        <f>IF(AND(OR(N13="B",N13="C"),$A$5=0,$C$5="N"),116.25*Q13+'DATI (2)'!$E$4*Q13,IF(AND(OR(N13="B",N13="C"),$A$5=0,$C$5="S"),114.01*Q13+'DATI (2)'!$E$4*Q13," "))</f>
        <v> </v>
      </c>
      <c r="X13" s="128" t="str">
        <f>IF(AND(OR(N13="B",N13="C"),C13="s",$A$5&gt;0),114.01*1.3*Q13+1.3*'DATI (2)'!$E$4*Q13," ")</f>
        <v> </v>
      </c>
      <c r="Y13" s="128" t="str">
        <f>IF(N13="E",IF(M13=1,'DATI (2)'!$E$7*T13,IF(M13=2,'DATI (2)'!$E$8*T13,IF(M13=3,'DATI (2)'!$E$9*T13)))*B13," ")</f>
        <v> </v>
      </c>
      <c r="Z13" s="130"/>
      <c r="AA13" s="131">
        <f>IF(Z13="X",'DATI (2)'!$E$5*P13*L13,"")</f>
      </c>
      <c r="AB13" s="132">
        <f>IF(G13="X",-SUM(U13:Y13)*'DATI (2)'!$E$15,"")</f>
      </c>
      <c r="AC13" s="133">
        <f>SUM(U13:AB13)</f>
        <v>0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ht="12.75">
      <c r="A14" s="113"/>
      <c r="B14" s="90">
        <v>1</v>
      </c>
      <c r="C14" s="91" t="s">
        <v>68</v>
      </c>
      <c r="D14" s="134"/>
      <c r="E14" s="135"/>
      <c r="F14" s="136"/>
      <c r="G14" s="137"/>
      <c r="H14" s="147"/>
      <c r="I14" s="119"/>
      <c r="J14" s="148"/>
      <c r="K14" s="140"/>
      <c r="L14" s="140"/>
      <c r="M14" s="140"/>
      <c r="N14" s="141"/>
      <c r="O14" s="142"/>
      <c r="P14" s="146"/>
      <c r="Q14" s="149"/>
      <c r="R14" s="149"/>
      <c r="S14" s="143"/>
      <c r="T14" s="150"/>
      <c r="U14" s="144" t="str">
        <f>IF($A$5&gt;0," ",IF(AND(N14="A",F14&gt;0),(9687.52)*F14,IF(AND($A$5=0,C14="S",N14="A",F14=1),9687.52," ")))</f>
        <v> </v>
      </c>
      <c r="V14" s="128" t="str">
        <f>IF(AND(N14="A",F14&gt;=0,C14="s",$A$5&gt;0),9687.52*F14+114.01*Q14," ")</f>
        <v> </v>
      </c>
      <c r="W14" s="145" t="str">
        <f>IF(AND(OR(N14="B",N14="C"),$A$5=0,$C$5="N"),116.25*Q14+'DATI (2)'!$E$4*Q14,IF(AND(OR(N14="B",N14="C"),$A$5=0,$C$5="S"),114.01*Q14+'DATI (2)'!$E$4*Q14," "))</f>
        <v> </v>
      </c>
      <c r="X14" s="128" t="str">
        <f>IF(AND(OR(N14="B",N14="C"),C14="s",$A$5&gt;0),114.01*1.3*Q14+1.3*'DATI (2)'!$E$4*Q14," ")</f>
        <v> </v>
      </c>
      <c r="Y14" s="128" t="str">
        <f>IF(N14="E",IF(M14=1,'DATI (2)'!$E$7*T14,IF(M14=2,'DATI (2)'!$E$8*T14,IF(M14=3,'DATI (2)'!$E$9*T14)))*B14," ")</f>
        <v> </v>
      </c>
      <c r="Z14" s="130"/>
      <c r="AA14" s="131">
        <f>IF(Z14="X",'DATI (2)'!$E$5*P14*L14,"")</f>
      </c>
      <c r="AB14" s="132">
        <f>IF(G14="X",-SUM(U14:Y14)*'DATI (2)'!$E$15,"")</f>
      </c>
      <c r="AC14" s="133">
        <f>SUM(U14:AB14)</f>
        <v>0</v>
      </c>
      <c r="AD14" s="71"/>
      <c r="AE14" s="71"/>
      <c r="AF14" s="151"/>
      <c r="AG14" s="151"/>
      <c r="AH14" s="151"/>
      <c r="AI14" s="151"/>
      <c r="AJ14" s="151"/>
      <c r="AK14" s="151"/>
      <c r="AL14" s="151"/>
      <c r="AM14" s="71"/>
      <c r="AN14" s="71"/>
      <c r="AO14" s="71"/>
      <c r="AP14" s="71"/>
    </row>
    <row r="15" spans="1:42" ht="21.75" customHeight="1">
      <c r="A15" s="113"/>
      <c r="B15" s="90">
        <v>1</v>
      </c>
      <c r="C15" s="91" t="s">
        <v>68</v>
      </c>
      <c r="D15" s="134"/>
      <c r="E15" s="135"/>
      <c r="F15" s="136"/>
      <c r="G15" s="137"/>
      <c r="H15" s="138"/>
      <c r="I15" s="138"/>
      <c r="J15" s="139"/>
      <c r="K15" s="140"/>
      <c r="L15" s="140"/>
      <c r="M15" s="140"/>
      <c r="N15" s="141"/>
      <c r="O15" s="142"/>
      <c r="P15" s="146"/>
      <c r="Q15" s="149"/>
      <c r="R15" s="149"/>
      <c r="S15" s="143"/>
      <c r="T15" s="150"/>
      <c r="U15" s="144" t="str">
        <f>IF($A$5&gt;0," ",IF(AND(N15="A",F15&gt;0),(9687.52)*F15,IF(AND($A$5=0,C15="S",N15="A",F15=1),9687.52," ")))</f>
        <v> </v>
      </c>
      <c r="V15" s="128" t="str">
        <f>IF(AND(N15="A",F15&gt;=0,C15="s",$A$5&gt;0),9687.52*F15+114.01*Q15," ")</f>
        <v> </v>
      </c>
      <c r="W15" s="145" t="str">
        <f>IF(AND(OR(N15="B",N15="C"),$A$5=0,$C$5="N"),116.25*Q15+'DATI (2)'!$E$4*Q15,IF(AND(OR(N15="B",N15="C"),$A$5=0,$C$5="S"),114.01*Q15+'DATI (2)'!$E$4*Q15," "))</f>
        <v> </v>
      </c>
      <c r="X15" s="128" t="str">
        <f>IF(AND(OR(N15="B",N15="C"),C15="s",$A$5&gt;0),114.01*1.3*Q15+1.3*'DATI (2)'!$E$4*Q15," ")</f>
        <v> </v>
      </c>
      <c r="Y15" s="128" t="str">
        <f>IF(N15="E",IF(M15=1,'DATI (2)'!$E$7*T15,IF(M15=2,'DATI (2)'!$E$8*T15,IF(M15=3,'DATI (2)'!$E$9*T15)))*B15," ")</f>
        <v> </v>
      </c>
      <c r="Z15" s="130"/>
      <c r="AA15" s="131">
        <f>IF(Z15="X",'DATI (2)'!$E$5*P15*L15,"")</f>
      </c>
      <c r="AB15" s="132">
        <f>IF(G15="X",-SUM(U15:Y15)*'DATI (2)'!$E$15,"")</f>
      </c>
      <c r="AC15" s="133">
        <f>SUM(U15:AB15)</f>
        <v>0</v>
      </c>
      <c r="AD15" s="71"/>
      <c r="AE15" s="71"/>
      <c r="AF15" s="151"/>
      <c r="AG15" s="151"/>
      <c r="AH15" s="151"/>
      <c r="AI15" s="151"/>
      <c r="AJ15" s="151"/>
      <c r="AK15" s="151"/>
      <c r="AL15" s="151"/>
      <c r="AM15" s="71"/>
      <c r="AN15" s="71"/>
      <c r="AO15" s="71"/>
      <c r="AP15" s="71"/>
    </row>
    <row r="16" spans="1:42" ht="19.5" customHeight="1">
      <c r="A16" s="113"/>
      <c r="B16" s="90">
        <v>1</v>
      </c>
      <c r="C16" s="91" t="s">
        <v>68</v>
      </c>
      <c r="D16" s="134"/>
      <c r="E16" s="135"/>
      <c r="F16" s="136"/>
      <c r="G16" s="137"/>
      <c r="H16" s="118"/>
      <c r="I16" s="119"/>
      <c r="J16" s="139"/>
      <c r="K16" s="140"/>
      <c r="L16" s="140"/>
      <c r="M16" s="140"/>
      <c r="N16" s="141"/>
      <c r="O16" s="142"/>
      <c r="P16" s="146"/>
      <c r="Q16" s="149"/>
      <c r="R16" s="149"/>
      <c r="S16" s="124"/>
      <c r="T16" s="150"/>
      <c r="U16" s="144" t="str">
        <f>IF($A$5&gt;0," ",IF(AND(N16="A",F16&gt;0),(9687.52)*F16,IF(AND($A$5=0,C16="S",N16="A",F16=1),9687.52," ")))</f>
        <v> </v>
      </c>
      <c r="V16" s="128" t="str">
        <f>IF(AND(N16="A",F16&gt;=0,C16="s",$A$5&gt;0),9687.52*F16+114.01*Q16," ")</f>
        <v> </v>
      </c>
      <c r="W16" s="145" t="str">
        <f>IF(AND(OR(N16="B",N16="C"),$A$5=0,$C$5="N"),116.25*Q16+'DATI (2)'!$E$4*Q16,IF(AND(OR(N16="B",N16="C"),$A$5=0,$C$5="S"),114.01*Q16+'DATI (2)'!$E$4*Q16," "))</f>
        <v> </v>
      </c>
      <c r="X16" s="128" t="str">
        <f>IF(AND(OR(N16="B",N16="C"),C16="s",$A$5&gt;0),114.01*1.3*Q16+1.3*'DATI (2)'!$E$4*Q16," ")</f>
        <v> </v>
      </c>
      <c r="Y16" s="128" t="str">
        <f>IF(N16="E",IF(M16=1,'DATI (2)'!$E$7*T16,IF(M16=2,'DATI (2)'!$E$8*T16,IF(M16=3,'DATI (2)'!$E$9*T16)))*B16," ")</f>
        <v> </v>
      </c>
      <c r="Z16" s="130"/>
      <c r="AA16" s="131">
        <f>IF(Z16="X",'DATI (2)'!$E$5*P16*L16,"")</f>
      </c>
      <c r="AB16" s="132">
        <f>IF(G16="X",-SUM(U16:Y16)*'DATI (2)'!$E$15,"")</f>
      </c>
      <c r="AC16" s="133">
        <f>SUM(U16:AB16)</f>
        <v>0</v>
      </c>
      <c r="AD16" s="71"/>
      <c r="AE16" s="71"/>
      <c r="AF16" s="151"/>
      <c r="AG16" s="151"/>
      <c r="AH16" s="151"/>
      <c r="AI16" s="151"/>
      <c r="AJ16" s="151"/>
      <c r="AK16" s="151"/>
      <c r="AL16" s="151"/>
      <c r="AM16" s="71"/>
      <c r="AN16" s="71"/>
      <c r="AO16" s="71"/>
      <c r="AP16" s="71"/>
    </row>
    <row r="17" spans="1:42" ht="19.5" customHeight="1">
      <c r="A17" s="113"/>
      <c r="B17" s="113"/>
      <c r="C17" s="91"/>
      <c r="D17" s="152"/>
      <c r="E17" s="153"/>
      <c r="F17" s="136"/>
      <c r="G17" s="154"/>
      <c r="H17" s="155"/>
      <c r="I17" s="156"/>
      <c r="J17" s="140"/>
      <c r="K17" s="140"/>
      <c r="L17" s="140"/>
      <c r="M17" s="140"/>
      <c r="N17" s="141"/>
      <c r="O17" s="157"/>
      <c r="P17" s="146"/>
      <c r="Q17" s="149"/>
      <c r="R17" s="149"/>
      <c r="S17" s="143"/>
      <c r="T17" s="150"/>
      <c r="U17" s="144" t="str">
        <f>IF($A$5&gt;0," ",IF(AND(N17="A",F17&gt;0),(9687.52)*F17,IF(AND($A$5=0,C17="S",N17="A",F17=1),9687.52," ")))</f>
        <v> </v>
      </c>
      <c r="V17" s="128" t="str">
        <f>IF(AND(N17="A",F17&gt;=0,C17="s",$A$5&gt;0),9687.52*F17+114.01*Q17," ")</f>
        <v> </v>
      </c>
      <c r="W17" s="145" t="str">
        <f>IF(AND(OR(N17="B",N17="C"),$A$5=0,$C$5="N"),116.25*Q17+'DATI (2)'!$E$4*Q17,IF(AND(OR(N17="B",N17="C"),$A$5=0,$C$5="S"),114.01*Q17+'DATI (2)'!$E$4*Q17," "))</f>
        <v> </v>
      </c>
      <c r="X17" s="128" t="str">
        <f>IF(AND(OR(N17="B",N17="C"),C17="s",$A$5&gt;0),114.01*1.3*Q17+1.3*'DATI (2)'!$E$4*Q17," ")</f>
        <v> </v>
      </c>
      <c r="Y17" s="128" t="str">
        <f>IF(N17="E",IF(M17=1,'DATI (2)'!$E$7*T17,IF(M17=2,'DATI (2)'!$E$8*T17,IF(M17=3,'DATI (2)'!$E$9*T17)))*B17," ")</f>
        <v> </v>
      </c>
      <c r="Z17" s="130"/>
      <c r="AA17" s="131">
        <f>IF(Z17="X",'DATI (2)'!$E$5*P17*L17,"")</f>
      </c>
      <c r="AB17" s="132">
        <f>IF(G17="X",-SUM(U17:Y17)*'DATI (2)'!$E$15,"")</f>
      </c>
      <c r="AC17" s="133">
        <f>SUM(U17:AB17)</f>
        <v>0</v>
      </c>
      <c r="AD17" s="71"/>
      <c r="AE17" s="71"/>
      <c r="AF17" s="151"/>
      <c r="AG17" s="151"/>
      <c r="AH17" s="151"/>
      <c r="AI17" s="151"/>
      <c r="AJ17" s="151"/>
      <c r="AK17" s="151"/>
      <c r="AL17" s="151"/>
      <c r="AM17" s="71"/>
      <c r="AN17" s="71"/>
      <c r="AO17" s="71"/>
      <c r="AP17" s="71"/>
    </row>
    <row r="18" spans="1:42" ht="19.5" customHeight="1">
      <c r="A18" s="113"/>
      <c r="B18" s="113"/>
      <c r="C18" s="91"/>
      <c r="D18" s="152"/>
      <c r="E18" s="156"/>
      <c r="F18" s="136"/>
      <c r="G18" s="154"/>
      <c r="H18" s="155"/>
      <c r="I18" s="156"/>
      <c r="J18" s="140"/>
      <c r="K18" s="140"/>
      <c r="L18" s="140"/>
      <c r="M18" s="140"/>
      <c r="N18" s="141"/>
      <c r="O18" s="158"/>
      <c r="P18" s="146"/>
      <c r="Q18" s="149"/>
      <c r="R18" s="149"/>
      <c r="S18" s="143"/>
      <c r="T18" s="150"/>
      <c r="U18" s="144" t="str">
        <f>IF($A$5&gt;0," ",IF(AND(N18="A",F18&gt;0),(9687.52)*F18,IF(AND($A$5=0,C18="S",N18="A",F18=1),9687.52," ")))</f>
        <v> </v>
      </c>
      <c r="V18" s="128" t="str">
        <f>IF(AND(N18="A",F18&gt;=0,C18="s",$A$5&gt;0),9687.52*F18+114.01*Q18," ")</f>
        <v> </v>
      </c>
      <c r="W18" s="145" t="str">
        <f>IF(AND(OR(N18="B",N18="C"),$A$5=0,$C$5="N"),116.25*Q18+'DATI (2)'!$E$4*Q18,IF(AND(OR(N18="B",N18="C"),$A$5=0,$C$5="S"),114.01*Q18+'DATI (2)'!$E$4*Q18," "))</f>
        <v> </v>
      </c>
      <c r="X18" s="128" t="str">
        <f>IF(AND(OR(N18="B",N18="C"),C18="s",$A$5&gt;0),114.01*1.3*Q18+1.3*'DATI (2)'!$E$4*Q18," ")</f>
        <v> </v>
      </c>
      <c r="Y18" s="128" t="str">
        <f>IF(N18="E",IF(M18=1,'DATI (2)'!$E$7*T18,IF(M18=2,'DATI (2)'!$E$8*T18,IF(M18=3,'DATI (2)'!$E$9*T18)))*B18," ")</f>
        <v> </v>
      </c>
      <c r="Z18" s="130"/>
      <c r="AA18" s="131">
        <f>IF(Z18="X",'DATI (2)'!$E$5*P18*L18,"")</f>
      </c>
      <c r="AB18" s="132">
        <f>IF(G18="X",-SUM(U18:Y18)*'DATI (2)'!$E$15,"")</f>
      </c>
      <c r="AC18" s="133">
        <f>SUM(U18:AB18)</f>
        <v>0</v>
      </c>
      <c r="AD18" s="71"/>
      <c r="AE18" s="71"/>
      <c r="AF18" s="151"/>
      <c r="AG18" s="151"/>
      <c r="AH18" s="159"/>
      <c r="AI18" s="151"/>
      <c r="AJ18" s="151"/>
      <c r="AK18" s="151"/>
      <c r="AL18" s="151"/>
      <c r="AM18" s="71"/>
      <c r="AN18" s="71"/>
      <c r="AO18" s="71"/>
      <c r="AP18" s="71"/>
    </row>
    <row r="19" spans="1:43" ht="19.5" customHeight="1">
      <c r="A19" s="113"/>
      <c r="B19" s="113"/>
      <c r="C19" s="91"/>
      <c r="D19" s="160"/>
      <c r="E19" s="161"/>
      <c r="F19" s="162"/>
      <c r="G19" s="163"/>
      <c r="H19" s="163"/>
      <c r="I19" s="161"/>
      <c r="J19" s="164"/>
      <c r="K19" s="164"/>
      <c r="L19" s="164"/>
      <c r="M19" s="164"/>
      <c r="N19" s="165"/>
      <c r="O19" s="166"/>
      <c r="P19" s="167"/>
      <c r="Q19" s="168">
        <f>IF(P19&gt;0,(P19*K19),"")</f>
      </c>
      <c r="R19" s="168"/>
      <c r="S19" s="167"/>
      <c r="T19" s="169">
        <f>IF(OR(R19&gt;0,S19&gt;0),(R19+S19*0.6)*DATI!$E$14,"")</f>
      </c>
      <c r="U19" s="170" t="str">
        <f>IF($A$5&gt;0," ",IF(AND(N19="A",F19&gt;0),(9687.52)*F19,IF(AND($A$5=0,C19="S",N19="A",F19=1),9687.52," ")))</f>
        <v> </v>
      </c>
      <c r="V19" s="171" t="str">
        <f>IF(AND(N19="A",F19&gt;=0,C19="s",$A$5&gt;0),9687.52*F19+114.01*Q19," ")</f>
        <v> </v>
      </c>
      <c r="W19" s="172" t="str">
        <f>IF(AND(OR(N19="B",N19="C"),$A$5=0,$C$5="N"),116.25*Q19+'DATI (2)'!$E$4*Q19,IF(AND(OR(N19="B",N19="C"),$A$5=0,$C$5="S"),114.01*Q19+'DATI (2)'!$E$4*Q19," "))</f>
        <v> </v>
      </c>
      <c r="X19" s="171" t="str">
        <f>IF(AND(OR(N19="B",N19="C"),C19="s",$A$5&gt;0),114.01*1.3*Q19+1.3*'DATI (2)'!$E$4*Q19," ")</f>
        <v> </v>
      </c>
      <c r="Y19" s="171" t="str">
        <f>IF(N19="E",IF(M19=1,'DATI (2)'!$E$7*T19,IF(M19=2,'DATI (2)'!$E$8*T19,IF(M19=3,'DATI (2)'!$E$9*T19)))*B19," ")</f>
        <v> </v>
      </c>
      <c r="Z19" s="173"/>
      <c r="AA19" s="174">
        <f>IF(Z19="X",'DATI (2)'!$E$5*P19*L19,"")</f>
      </c>
      <c r="AB19" s="175">
        <f>IF(G19="X",-SUM(U19:Y19)*'DATI (2)'!$E$15,"")</f>
      </c>
      <c r="AC19" s="176">
        <f>SUM(U19:AB19)</f>
        <v>0</v>
      </c>
      <c r="AD19" s="71"/>
      <c r="AE19" s="71"/>
      <c r="AF19" s="151"/>
      <c r="AG19" s="151"/>
      <c r="AH19" s="151"/>
      <c r="AI19" s="151"/>
      <c r="AJ19" s="151"/>
      <c r="AN19" s="69"/>
      <c r="AO19" s="177"/>
      <c r="AP19" s="69"/>
      <c r="AQ19" s="69"/>
    </row>
    <row r="20" spans="1:43" ht="26.25" customHeight="1">
      <c r="A20" s="113"/>
      <c r="B20" s="113"/>
      <c r="C20" s="91"/>
      <c r="D20" s="178"/>
      <c r="E20" s="179"/>
      <c r="F20" s="179"/>
      <c r="G20" s="179"/>
      <c r="H20" s="179"/>
      <c r="I20" s="179"/>
      <c r="J20" s="179" t="s">
        <v>78</v>
      </c>
      <c r="K20" s="179"/>
      <c r="L20" s="179"/>
      <c r="M20" s="179"/>
      <c r="N20" s="179"/>
      <c r="O20" s="179"/>
      <c r="P20" s="180">
        <f>SUM(P5:P19)</f>
        <v>223.5</v>
      </c>
      <c r="Q20" s="180">
        <f>SUM(Q5:Q19)</f>
        <v>746.6</v>
      </c>
      <c r="R20" s="179" t="s">
        <v>79</v>
      </c>
      <c r="S20" s="179"/>
      <c r="T20" s="180">
        <f>SUM(T5:T19)</f>
        <v>634.61</v>
      </c>
      <c r="U20" s="181">
        <f>SUM(U5:U19)</f>
        <v>0</v>
      </c>
      <c r="V20" s="181">
        <f>SUM(V5:V19)</f>
        <v>60946.416</v>
      </c>
      <c r="W20" s="181">
        <f>SUM(W5:W19)</f>
        <v>0</v>
      </c>
      <c r="X20" s="181">
        <f>SUM(X5:X19)</f>
        <v>0</v>
      </c>
      <c r="Y20" s="181">
        <f>SUM(Y5:Y19)</f>
        <v>322287.768</v>
      </c>
      <c r="Z20" s="181"/>
      <c r="AA20" s="181">
        <f>SUM(AA5:AA19)</f>
        <v>0</v>
      </c>
      <c r="AB20" s="182">
        <f>SUM(AB5:AB19)</f>
        <v>0</v>
      </c>
      <c r="AC20" s="183">
        <f>SUM(AC5:AC19)</f>
        <v>383234.18399999995</v>
      </c>
      <c r="AD20" s="71"/>
      <c r="AE20" s="71"/>
      <c r="AF20" s="151"/>
      <c r="AG20" s="151"/>
      <c r="AH20" s="151"/>
      <c r="AI20" s="151"/>
      <c r="AJ20" s="151"/>
      <c r="AN20" s="69"/>
      <c r="AO20" s="177"/>
      <c r="AP20" s="69"/>
      <c r="AQ20" s="69"/>
    </row>
    <row r="21" spans="4:43" ht="29.25" customHeight="1">
      <c r="D21" s="184"/>
      <c r="E21" s="185"/>
      <c r="F21" s="185"/>
      <c r="G21" s="186"/>
      <c r="H21" s="187" t="s">
        <v>80</v>
      </c>
      <c r="I21" s="188"/>
      <c r="J21" s="189"/>
      <c r="K21" s="189"/>
      <c r="L21" s="188"/>
      <c r="M21" s="188"/>
      <c r="N21" s="190">
        <f>AN42/Q20</f>
        <v>0.40021430484864723</v>
      </c>
      <c r="O21" s="185"/>
      <c r="P21" s="187" t="s">
        <v>81</v>
      </c>
      <c r="Q21" s="191"/>
      <c r="R21" s="192"/>
      <c r="S21" s="192"/>
      <c r="T21" s="190">
        <f>(Q20-AN41-AK45)/Q20</f>
        <v>0.5997856951513528</v>
      </c>
      <c r="U21" s="193"/>
      <c r="V21" s="187" t="s">
        <v>82</v>
      </c>
      <c r="W21" s="189"/>
      <c r="X21" s="194"/>
      <c r="Y21" s="190">
        <f>SUM(S5:S19)/DATI!$E$14/Q20</f>
        <v>0</v>
      </c>
      <c r="Z21" s="193"/>
      <c r="AA21" s="193"/>
      <c r="AB21" s="193"/>
      <c r="AC21" s="195"/>
      <c r="AD21" s="196"/>
      <c r="AE21" s="196"/>
      <c r="AF21" s="197"/>
      <c r="AG21" s="197"/>
      <c r="AH21" s="197"/>
      <c r="AI21" s="197"/>
      <c r="AJ21" s="197"/>
      <c r="AN21" s="69"/>
      <c r="AO21" s="177"/>
      <c r="AP21" s="198"/>
      <c r="AQ21" s="69"/>
    </row>
    <row r="22" spans="1:42" ht="19.5" customHeight="1">
      <c r="A22" s="113"/>
      <c r="B22" s="113"/>
      <c r="P22" s="68"/>
      <c r="Q22" s="68"/>
      <c r="R22" s="68"/>
      <c r="S22" s="68"/>
      <c r="AF22" s="151"/>
      <c r="AG22" s="151"/>
      <c r="AH22" s="151"/>
      <c r="AI22" s="151"/>
      <c r="AJ22" s="151"/>
      <c r="AK22" s="151"/>
      <c r="AL22" s="151"/>
      <c r="AM22" s="71"/>
      <c r="AN22" s="71"/>
      <c r="AO22" s="71"/>
      <c r="AP22" s="71"/>
    </row>
    <row r="23" spans="1:42" ht="19.5" customHeight="1">
      <c r="A23" s="113"/>
      <c r="B23" s="113"/>
      <c r="AF23" s="151"/>
      <c r="AG23" s="151"/>
      <c r="AH23" s="151"/>
      <c r="AI23" s="151"/>
      <c r="AJ23" s="151"/>
      <c r="AK23" s="151"/>
      <c r="AL23" s="151"/>
      <c r="AM23" s="71"/>
      <c r="AN23" s="71"/>
      <c r="AO23" s="71"/>
      <c r="AP23" s="71"/>
    </row>
    <row r="24" spans="1:67" ht="28.5" customHeight="1">
      <c r="A24" s="113"/>
      <c r="B24" s="113"/>
      <c r="D24" s="199" t="s">
        <v>83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 t="s">
        <v>84</v>
      </c>
      <c r="Z24" s="199"/>
      <c r="AA24" s="199"/>
      <c r="AB24" s="199"/>
      <c r="AC24" s="199"/>
      <c r="AF24" s="151"/>
      <c r="AG24" s="151"/>
      <c r="AH24" s="200" t="s">
        <v>85</v>
      </c>
      <c r="AI24" s="201" t="s">
        <v>86</v>
      </c>
      <c r="AJ24" s="201"/>
      <c r="AK24" s="201"/>
      <c r="AL24" s="202" t="s">
        <v>87</v>
      </c>
      <c r="AM24" s="202"/>
      <c r="AQ24" s="203" t="s">
        <v>85</v>
      </c>
      <c r="AR24" s="203"/>
      <c r="AS24" s="203" t="s">
        <v>88</v>
      </c>
      <c r="AT24" s="203"/>
      <c r="AV24" s="204" t="s">
        <v>89</v>
      </c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</row>
    <row r="25" spans="4:75" ht="75" customHeight="1">
      <c r="D25" s="205" t="s">
        <v>43</v>
      </c>
      <c r="E25" s="206" t="s">
        <v>45</v>
      </c>
      <c r="F25" s="207" t="s">
        <v>90</v>
      </c>
      <c r="G25" s="208" t="s">
        <v>91</v>
      </c>
      <c r="H25" s="209" t="s">
        <v>67</v>
      </c>
      <c r="I25" s="209"/>
      <c r="J25" s="209"/>
      <c r="K25" s="210" t="s">
        <v>92</v>
      </c>
      <c r="L25" s="210"/>
      <c r="M25" s="211" t="s">
        <v>93</v>
      </c>
      <c r="N25" s="211"/>
      <c r="O25" s="212" t="s">
        <v>94</v>
      </c>
      <c r="P25" s="210" t="s">
        <v>95</v>
      </c>
      <c r="Q25" s="213" t="s">
        <v>96</v>
      </c>
      <c r="R25" s="214" t="s">
        <v>97</v>
      </c>
      <c r="S25" s="215" t="s">
        <v>98</v>
      </c>
      <c r="T25" s="212" t="s">
        <v>99</v>
      </c>
      <c r="U25" s="216" t="s">
        <v>100</v>
      </c>
      <c r="V25" s="215" t="s">
        <v>101</v>
      </c>
      <c r="W25" s="212" t="s">
        <v>102</v>
      </c>
      <c r="X25" s="216" t="s">
        <v>103</v>
      </c>
      <c r="Y25" s="211" t="s">
        <v>104</v>
      </c>
      <c r="Z25" s="217" t="s">
        <v>105</v>
      </c>
      <c r="AA25" s="217"/>
      <c r="AB25" s="218" t="s">
        <v>106</v>
      </c>
      <c r="AC25" s="218"/>
      <c r="AF25" s="151"/>
      <c r="AG25" s="151"/>
      <c r="AH25" s="219" t="s">
        <v>77</v>
      </c>
      <c r="AI25" s="219" t="s">
        <v>77</v>
      </c>
      <c r="AJ25" s="219" t="s">
        <v>107</v>
      </c>
      <c r="AK25" s="219" t="s">
        <v>72</v>
      </c>
      <c r="AL25" s="219" t="s">
        <v>72</v>
      </c>
      <c r="AM25" s="219" t="s">
        <v>72</v>
      </c>
      <c r="AN25" s="219" t="s">
        <v>108</v>
      </c>
      <c r="AQ25" s="220" t="s">
        <v>109</v>
      </c>
      <c r="AR25" s="220" t="s">
        <v>110</v>
      </c>
      <c r="AS25" s="221" t="s">
        <v>71</v>
      </c>
      <c r="AT25" s="221" t="s">
        <v>75</v>
      </c>
      <c r="AV25" s="220" t="s">
        <v>111</v>
      </c>
      <c r="AW25" s="220"/>
      <c r="AX25" s="220" t="s">
        <v>112</v>
      </c>
      <c r="AY25" s="220"/>
      <c r="AZ25" s="220" t="s">
        <v>110</v>
      </c>
      <c r="BA25" s="220"/>
      <c r="BC25" s="220" t="s">
        <v>113</v>
      </c>
      <c r="BD25" s="220"/>
      <c r="BE25" s="220" t="s">
        <v>114</v>
      </c>
      <c r="BF25" s="220"/>
      <c r="BG25" s="220" t="s">
        <v>115</v>
      </c>
      <c r="BH25" s="220"/>
      <c r="BJ25" s="220" t="s">
        <v>116</v>
      </c>
      <c r="BK25" s="220"/>
      <c r="BL25" s="220" t="s">
        <v>117</v>
      </c>
      <c r="BM25" s="220"/>
      <c r="BN25" s="220" t="s">
        <v>118</v>
      </c>
      <c r="BQ25" s="68" t="s">
        <v>119</v>
      </c>
      <c r="BR25" s="68" t="s">
        <v>120</v>
      </c>
      <c r="BS25" s="68" t="s">
        <v>121</v>
      </c>
      <c r="BT25" s="68" t="s">
        <v>122</v>
      </c>
      <c r="BU25" s="68" t="s">
        <v>123</v>
      </c>
      <c r="BW25" s="222" t="s">
        <v>124</v>
      </c>
    </row>
    <row r="26" spans="4:75" ht="19.5" customHeight="1">
      <c r="D26" s="223">
        <f>D5</f>
        <v>20</v>
      </c>
      <c r="E26" s="224">
        <f>F5</f>
        <v>1</v>
      </c>
      <c r="F26" s="225" t="str">
        <f>N5</f>
        <v>A</v>
      </c>
      <c r="G26" s="226">
        <f>Q5</f>
        <v>298.8</v>
      </c>
      <c r="H26" s="227">
        <f>AC5</f>
        <v>43753.708</v>
      </c>
      <c r="I26" s="227"/>
      <c r="J26" s="227"/>
      <c r="K26" s="228">
        <f>(H26)*0.1</f>
        <v>4375.3708</v>
      </c>
      <c r="L26" s="228"/>
      <c r="M26" s="229">
        <f>IF($C$5="s",IF(SUM($H$41)&lt;=1000000,SUM(H26)*0.02,SUM(H26)*0.01),0)</f>
        <v>875.07416</v>
      </c>
      <c r="N26" s="229"/>
      <c r="O26" s="230">
        <f>(M26*(0.04))</f>
        <v>35.0029664</v>
      </c>
      <c r="P26" s="231">
        <f>(M26+O26)*0.22</f>
        <v>200.216967808</v>
      </c>
      <c r="Q26" s="232">
        <f>IF(F26="E",G26*12,0)</f>
        <v>0</v>
      </c>
      <c r="R26" s="233">
        <f>BW26*0.22</f>
        <v>0</v>
      </c>
      <c r="S26" s="234">
        <f>IF(F26="E",H26*1.5%,0)</f>
        <v>0</v>
      </c>
      <c r="T26" s="235">
        <f>S26*0.02</f>
        <v>0</v>
      </c>
      <c r="U26" s="236">
        <f>(S26+T26)*0.22</f>
        <v>0</v>
      </c>
      <c r="V26" s="232">
        <f>H26*0.15</f>
        <v>6563.0562</v>
      </c>
      <c r="W26" s="230">
        <f>V26*0.04</f>
        <v>262.522248</v>
      </c>
      <c r="X26" s="237">
        <f>0.22*(W26+V26)</f>
        <v>1501.62725856</v>
      </c>
      <c r="Y26" s="238">
        <f>SUM(K26:X26)-Q26+BW26</f>
        <v>13812.870600768001</v>
      </c>
      <c r="Z26" s="239">
        <f>Y26+H26</f>
        <v>57566.578600768</v>
      </c>
      <c r="AA26" s="239"/>
      <c r="AB26" s="240">
        <f>SUM(Z26:AA40)</f>
        <v>516335.506429552</v>
      </c>
      <c r="AC26" s="240"/>
      <c r="AF26" s="151"/>
      <c r="AG26" s="151"/>
      <c r="AH26" s="241">
        <f>IF($N5="E",$T5,0)</f>
        <v>0</v>
      </c>
      <c r="AI26" s="241">
        <f>IF(OR($F26="E",$F26="E"),$G26,0)</f>
        <v>0</v>
      </c>
      <c r="AJ26" s="241">
        <f>IF(OR($F26="B",$F26="C"),$G26,0)</f>
        <v>0</v>
      </c>
      <c r="AK26" s="241">
        <f>IF($F26="A",$G26,0)</f>
        <v>298.8</v>
      </c>
      <c r="AL26" s="241">
        <f>IF($N5="A",$F5,0)</f>
        <v>1</v>
      </c>
      <c r="AM26" s="241">
        <f>IF(AND($F26="A",$F5&gt;0),$G26,0)</f>
        <v>298.8</v>
      </c>
      <c r="AN26" s="241">
        <f>IF($F5&gt;0,$G26,0)</f>
        <v>298.8</v>
      </c>
      <c r="AQ26" s="242">
        <f>IF($N5="E",$R5/'DATI (2)'!$E$13,0)</f>
        <v>0</v>
      </c>
      <c r="AR26" s="242">
        <f>IF($N5="E",$S5/'DATI (2)'!$E$14,0)</f>
        <v>0</v>
      </c>
      <c r="AS26" s="243">
        <f>($R5)/'DATI (2)'!$E$13</f>
        <v>298.8</v>
      </c>
      <c r="AT26" s="243">
        <f>$S5/'DATI (2)'!$E$14</f>
        <v>0</v>
      </c>
      <c r="AV26" s="242">
        <f>IF(AND($F26="E",$F5&gt;0),$R5/'DATI (2)'!$E$13,0)</f>
        <v>0</v>
      </c>
      <c r="AW26" s="244">
        <f>IF(AND($F26="E",$F5&gt;0),$Z26,0)</f>
        <v>0</v>
      </c>
      <c r="AX26" s="242">
        <f>IF(AND($F26="E",$F5=0),$R5/'DATI (2)'!$E$13,0)</f>
        <v>0</v>
      </c>
      <c r="AY26" s="244">
        <f>IF(AND($F26="E",$F5=0,R5&gt;0),$Z26*$BT26,0)</f>
        <v>0</v>
      </c>
      <c r="AZ26" s="242">
        <f>IF(AND($F26="E"),$S5/'DATI (2)'!$E$13,0)</f>
        <v>0</v>
      </c>
      <c r="BA26" s="244">
        <f>IF(AND($F26="E",$S5&gt;0),$Z26*$BU26,0)</f>
        <v>0</v>
      </c>
      <c r="BC26" s="242">
        <f>IF(AND(OR($F26="B",$F26="C"),$F5&gt;0),$R5/'DATI (2)'!$E$13,0)</f>
        <v>0</v>
      </c>
      <c r="BD26" s="244">
        <f>IF(AND(AND(OR($F26="B",$F26="C")),$F5&gt;0),$Z26,0)</f>
        <v>0</v>
      </c>
      <c r="BE26" s="242">
        <f>IF(AND(OR($F26="B",$F26="C"),$F5=0),$R5/'DATI (2)'!$E$13,0)</f>
        <v>0</v>
      </c>
      <c r="BF26" s="244">
        <f>IF(AND((OR($F26="B",$F26="C")),$F5=0,R5&gt;0),$Z26*$BT26,0)</f>
        <v>0</v>
      </c>
      <c r="BG26" s="242">
        <f>IF(AND(OR($F26="B",$F26="C")),$S5/'DATI (2)'!$E$13,0)</f>
        <v>0</v>
      </c>
      <c r="BH26" s="244">
        <f>IF(AND((OR($F26="B",$F26="C")),$S5&gt;0),$Z26*$BU26,0)</f>
        <v>0</v>
      </c>
      <c r="BJ26" s="242">
        <f>IF(AND($F26="A",$F5&gt;0),$R5/'DATI (2)'!$E$13,0)</f>
        <v>298.8</v>
      </c>
      <c r="BK26" s="244">
        <f>IF(AND($F26="a",$F5&gt;0),$Z26,0)</f>
        <v>57566.578600768</v>
      </c>
      <c r="BL26" s="242">
        <f>IF(AND($F26="A",$F5=0),$R5/'DATI (2)'!$E$13,0)</f>
        <v>0</v>
      </c>
      <c r="BM26" s="244">
        <f>IF(AND($F26="a",$F5=0,R5&gt;0),$Z26*$BT26,0)</f>
        <v>0</v>
      </c>
      <c r="BN26" s="242">
        <f>IF(AND($F26="A"),$S5/'DATI (2)'!$E$13,0)</f>
        <v>0</v>
      </c>
      <c r="BO26" s="244">
        <f>IF(AND($F26="a",$S5&gt;0),$Z26*$BU26,0)</f>
        <v>0</v>
      </c>
      <c r="BQ26" s="245">
        <f>Q5</f>
        <v>298.8</v>
      </c>
      <c r="BR26" s="245">
        <f>R5/'DATI (2)'!$E$13</f>
        <v>298.8</v>
      </c>
      <c r="BS26" s="245">
        <f>S5/'DATI (2)'!$E$14</f>
        <v>0</v>
      </c>
      <c r="BT26" s="245">
        <f>BR26/BQ26</f>
        <v>1</v>
      </c>
      <c r="BU26" s="245">
        <f>BS26/BQ26</f>
        <v>0</v>
      </c>
      <c r="BW26" s="68">
        <f>IF(F26="E",$Q$41*G26/$AI$41,0)</f>
        <v>0</v>
      </c>
    </row>
    <row r="27" spans="4:75" ht="19.5" customHeight="1">
      <c r="D27" s="246">
        <f>D6</f>
        <v>21</v>
      </c>
      <c r="E27" s="247">
        <f>F6</f>
        <v>0</v>
      </c>
      <c r="F27" s="248" t="str">
        <f>N6</f>
        <v>E</v>
      </c>
      <c r="G27" s="249">
        <f>Q6</f>
        <v>297</v>
      </c>
      <c r="H27" s="250">
        <f>AC6</f>
        <v>322287.768</v>
      </c>
      <c r="I27" s="250"/>
      <c r="J27" s="250"/>
      <c r="K27" s="251">
        <f>(H27)*0.1</f>
        <v>32228.7768</v>
      </c>
      <c r="L27" s="251"/>
      <c r="M27" s="252">
        <f>IF($C$5="s",IF(SUM($H$41)&lt;=1000000,SUM(H27)*0.02,SUM(H27)*0.01),0)</f>
        <v>6445.75536</v>
      </c>
      <c r="N27" s="252"/>
      <c r="O27" s="253">
        <f>(M27*(0.04))</f>
        <v>257.8302144</v>
      </c>
      <c r="P27" s="254">
        <f>(M27+O27)*0.22</f>
        <v>1474.788826368</v>
      </c>
      <c r="Q27" s="255">
        <f>IF(F27="E",G27*12,0)</f>
        <v>3564</v>
      </c>
      <c r="R27" s="256">
        <f>BW27*0.22</f>
        <v>1100</v>
      </c>
      <c r="S27" s="257">
        <f>IF(F27="E",H27*1.5%,0)</f>
        <v>4834.316519999999</v>
      </c>
      <c r="T27" s="258">
        <f>S27*0.02</f>
        <v>96.68633039999999</v>
      </c>
      <c r="U27" s="259">
        <f>(S27+T27)*0.22</f>
        <v>1084.8206270879998</v>
      </c>
      <c r="V27" s="255">
        <f>H27*0.15</f>
        <v>48343.165199999996</v>
      </c>
      <c r="W27" s="253">
        <f>V27*0.04</f>
        <v>1933.726608</v>
      </c>
      <c r="X27" s="260">
        <f>0.22*(W27+V27)</f>
        <v>11060.916197759998</v>
      </c>
      <c r="Y27" s="261">
        <f>SUM(K27:X27)-Q27+BW27</f>
        <v>113860.78268401598</v>
      </c>
      <c r="Z27" s="262">
        <f>Y27+H27</f>
        <v>436148.55068401597</v>
      </c>
      <c r="AA27" s="262"/>
      <c r="AB27" s="240"/>
      <c r="AC27" s="240"/>
      <c r="AF27" s="151"/>
      <c r="AG27" s="151"/>
      <c r="AH27" s="241">
        <f>IF($N6="E",$T6,0)</f>
        <v>252.45</v>
      </c>
      <c r="AI27" s="241">
        <f>IF(OR($F27="E",$F27="E"),$G27,0)</f>
        <v>297</v>
      </c>
      <c r="AJ27" s="241">
        <f>IF(OR($F27="B",$F27="C"),$G27,0)</f>
        <v>0</v>
      </c>
      <c r="AK27" s="241">
        <f>IF($F27="A",$G27,0)</f>
        <v>0</v>
      </c>
      <c r="AL27" s="241">
        <f>IF($N6="A",$F6,0)</f>
        <v>0</v>
      </c>
      <c r="AM27" s="241">
        <f>IF(AND($F27="A",$F6&gt;0),$G27,0)</f>
        <v>0</v>
      </c>
      <c r="AN27" s="241">
        <f>IF($F6&gt;0,$G27,0)</f>
        <v>0</v>
      </c>
      <c r="AQ27" s="242">
        <f>IF($N6="E",$R6/'DATI (2)'!$E$13,0)</f>
        <v>297</v>
      </c>
      <c r="AR27" s="242">
        <f>IF($N6="E",$S6/'DATI (2)'!$E$14,0)</f>
        <v>0</v>
      </c>
      <c r="AS27" s="243">
        <f>($R6)/'DATI (2)'!$E$13</f>
        <v>297</v>
      </c>
      <c r="AT27" s="243">
        <f>$S6/'DATI (2)'!$E$14</f>
        <v>0</v>
      </c>
      <c r="AV27" s="242">
        <f>IF(AND($F27="E",$F6&gt;0),$R6/'DATI (2)'!$E$13,0)</f>
        <v>0</v>
      </c>
      <c r="AW27" s="244">
        <f>IF(AND($F27="E",$F6&gt;0),$Z27,0)</f>
        <v>0</v>
      </c>
      <c r="AX27" s="242">
        <f>IF(AND($F27="E",$F6=0),$R6/'DATI (2)'!$E$13,0)</f>
        <v>297</v>
      </c>
      <c r="AY27" s="244">
        <f>IF(AND($F27="E",$F6=0,R6&gt;0),$Z27*$BT27,0)</f>
        <v>436148.55068401597</v>
      </c>
      <c r="AZ27" s="242">
        <f>IF(AND($F27="E"),$S6/'DATI (2)'!$E$13,0)</f>
        <v>0</v>
      </c>
      <c r="BA27" s="244">
        <f>IF(AND($F27="E",$S6&gt;0),$Z27*$BU27,0)</f>
        <v>0</v>
      </c>
      <c r="BC27" s="242">
        <f>IF(AND(OR($F27="B",$F27="C"),$F6&gt;0),$R6/'DATI (2)'!$E$13,0)</f>
        <v>0</v>
      </c>
      <c r="BD27" s="244">
        <f>IF(AND(AND(OR($F27="B",$F27="C")),$F6&gt;0),$Z27,0)</f>
        <v>0</v>
      </c>
      <c r="BE27" s="242">
        <f>IF(AND(OR($F27="B",$F27="C"),$F6=0),$R6/'DATI (2)'!$E$13,0)</f>
        <v>0</v>
      </c>
      <c r="BF27" s="244">
        <f>IF(AND((OR($F27="B",$F27="C")),$F6=0,R6&gt;0),$Z27*$BT27,0)</f>
        <v>0</v>
      </c>
      <c r="BG27" s="242">
        <f>IF(AND(OR($F27="B",$F27="C")),$S6/'DATI (2)'!$E$13,0)</f>
        <v>0</v>
      </c>
      <c r="BH27" s="244">
        <f>IF(AND((OR($F27="B",$F27="C")),$S6&gt;0),$Z27*$BU27,0)</f>
        <v>0</v>
      </c>
      <c r="BJ27" s="242">
        <f>IF(AND($F27="A",$F6&gt;0),$R6/'DATI (2)'!$E$13,0)</f>
        <v>0</v>
      </c>
      <c r="BK27" s="244">
        <f>IF(AND($F27="a",$F6&gt;0),$Z27,0)</f>
        <v>0</v>
      </c>
      <c r="BL27" s="242">
        <f>IF(AND($F27="A",$F6=0),$R6/'DATI (2)'!$E$13,0)</f>
        <v>0</v>
      </c>
      <c r="BM27" s="244">
        <f>IF(AND($F27="a",$F6=0,R6&gt;0),$Z27*$BT27,0)</f>
        <v>0</v>
      </c>
      <c r="BN27" s="242">
        <f>IF(AND($F27="A"),$S6/'DATI (2)'!$E$13,0)</f>
        <v>0</v>
      </c>
      <c r="BO27" s="244">
        <f>IF(AND($F27="a",$S6&gt;0),$Z27*$BU27,0)</f>
        <v>0</v>
      </c>
      <c r="BQ27" s="245">
        <f>Q6</f>
        <v>297</v>
      </c>
      <c r="BR27" s="245">
        <f>R6/'DATI (2)'!$E$13</f>
        <v>297</v>
      </c>
      <c r="BS27" s="245">
        <f>S6/'DATI (2)'!$E$14</f>
        <v>0</v>
      </c>
      <c r="BT27" s="245">
        <f>BR27/BQ27</f>
        <v>1</v>
      </c>
      <c r="BU27" s="245">
        <f>BS27/BQ27</f>
        <v>0</v>
      </c>
      <c r="BW27" s="68">
        <f>IF(F27="E",$Q$41*G27/$AI$41,0)</f>
        <v>5000</v>
      </c>
    </row>
    <row r="28" spans="4:75" ht="19.5" customHeight="1">
      <c r="D28" s="246">
        <f>D7</f>
        <v>59</v>
      </c>
      <c r="E28" s="247">
        <f>F7</f>
        <v>0</v>
      </c>
      <c r="F28" s="248" t="str">
        <f>N7</f>
        <v>A</v>
      </c>
      <c r="G28" s="249">
        <f>Q7</f>
        <v>150.8</v>
      </c>
      <c r="H28" s="250">
        <f>AC7</f>
        <v>17192.708000000002</v>
      </c>
      <c r="I28" s="250"/>
      <c r="J28" s="250"/>
      <c r="K28" s="251">
        <f>(H28)*0.1</f>
        <v>1719.2708000000002</v>
      </c>
      <c r="L28" s="251"/>
      <c r="M28" s="252">
        <f>IF($C$5="s",IF(SUM($H$41)&lt;=1000000,SUM(H28)*0.02,SUM(H28)*0.01),0)</f>
        <v>343.85416000000004</v>
      </c>
      <c r="N28" s="252"/>
      <c r="O28" s="253">
        <f>(M28*(0.04))</f>
        <v>13.754166400000003</v>
      </c>
      <c r="P28" s="254">
        <f>(M28+O28)*0.22</f>
        <v>78.673831808</v>
      </c>
      <c r="Q28" s="255">
        <f>IF(F28="E",G28*12,0)</f>
        <v>0</v>
      </c>
      <c r="R28" s="256">
        <f>BW28*0.22</f>
        <v>0</v>
      </c>
      <c r="S28" s="257">
        <f>IF(F28="E",H28*1.5%,0)</f>
        <v>0</v>
      </c>
      <c r="T28" s="258">
        <f>S28*0.02</f>
        <v>0</v>
      </c>
      <c r="U28" s="259">
        <f>(S28+T28)*0.22</f>
        <v>0</v>
      </c>
      <c r="V28" s="255">
        <f>H28*0.15</f>
        <v>2578.9062000000004</v>
      </c>
      <c r="W28" s="253">
        <f>V28*0.04</f>
        <v>103.15624800000002</v>
      </c>
      <c r="X28" s="260">
        <f>0.22*(W28+V28)</f>
        <v>590.0537385600002</v>
      </c>
      <c r="Y28" s="261">
        <f>SUM(K28:X28)-Q28+BW28</f>
        <v>5427.6691447680005</v>
      </c>
      <c r="Z28" s="262">
        <f>Y28+H28</f>
        <v>22620.377144768005</v>
      </c>
      <c r="AA28" s="262"/>
      <c r="AB28" s="240"/>
      <c r="AC28" s="240"/>
      <c r="AF28" s="151"/>
      <c r="AG28" s="151"/>
      <c r="AH28" s="241">
        <f>IF($N7="E",$T7,0)</f>
        <v>0</v>
      </c>
      <c r="AI28" s="241">
        <f>IF(OR($F28="E",$F28="E"),$G28,0)</f>
        <v>0</v>
      </c>
      <c r="AJ28" s="241">
        <f>IF(OR($F28="B",$F28="C"),$G28,0)</f>
        <v>0</v>
      </c>
      <c r="AK28" s="241">
        <f>IF($F28="A",$G28,0)</f>
        <v>150.8</v>
      </c>
      <c r="AL28" s="241">
        <f>IF($N7="A",$F7,0)</f>
        <v>0</v>
      </c>
      <c r="AM28" s="241">
        <f>IF(AND($F28="A",$F7&gt;0),$G28,0)</f>
        <v>0</v>
      </c>
      <c r="AN28" s="241">
        <f>IF($F7&gt;0,$G28,0)</f>
        <v>0</v>
      </c>
      <c r="AQ28" s="242">
        <f>IF($N7="E",$R7/'DATI (2)'!$E$13,0)</f>
        <v>0</v>
      </c>
      <c r="AR28" s="242">
        <f>IF($N7="E",$S7/'DATI (2)'!$E$14,0)</f>
        <v>0</v>
      </c>
      <c r="AS28" s="243">
        <f>($R7)/'DATI (2)'!$E$13</f>
        <v>150.8</v>
      </c>
      <c r="AT28" s="243">
        <f>$S7/'DATI (2)'!$E$14</f>
        <v>0</v>
      </c>
      <c r="AV28" s="242">
        <f>IF(AND($F28="E",$F7&gt;0),$R7/'DATI (2)'!$E$13,0)</f>
        <v>0</v>
      </c>
      <c r="AW28" s="244">
        <f>IF(AND($F28="E",$F7&gt;0),$Z28,0)</f>
        <v>0</v>
      </c>
      <c r="AX28" s="242">
        <f>IF(AND($F28="E",$F7=0),$R7/'DATI (2)'!$E$13,0)</f>
        <v>0</v>
      </c>
      <c r="AY28" s="244">
        <f>IF(AND($F28="E",$F7=0,R7&gt;0),$Z28*$BT28,0)</f>
        <v>0</v>
      </c>
      <c r="AZ28" s="242">
        <f>IF(AND($F28="E"),$S7/'DATI (2)'!$E$13,0)</f>
        <v>0</v>
      </c>
      <c r="BA28" s="244">
        <f>IF(AND($F28="E",$S7&gt;0),$Z28*$BU28,0)</f>
        <v>0</v>
      </c>
      <c r="BC28" s="242">
        <f>IF(AND(OR($F28="B",$F28="C"),$F7&gt;0),$R7/'DATI (2)'!$E$13,0)</f>
        <v>0</v>
      </c>
      <c r="BD28" s="244">
        <f>IF(AND(AND(OR($F28="B",$F28="C")),$F7&gt;0),$Z28,0)</f>
        <v>0</v>
      </c>
      <c r="BE28" s="242">
        <f>IF(AND(OR($F28="B",$F28="C"),$F7=0),$R7/'DATI (2)'!$E$13,0)</f>
        <v>0</v>
      </c>
      <c r="BF28" s="244">
        <f>IF(AND((OR($F28="B",$F28="C")),$F7=0,R7&gt;0),$Z28*$BT28,0)</f>
        <v>0</v>
      </c>
      <c r="BG28" s="242">
        <f>IF(AND(OR($F28="B",$F28="C")),$S7/'DATI (2)'!$E$13,0)</f>
        <v>0</v>
      </c>
      <c r="BH28" s="244">
        <f>IF(AND((OR($F28="B",$F28="C")),$S7&gt;0),$Z28*$BU28,0)</f>
        <v>0</v>
      </c>
      <c r="BJ28" s="242">
        <f>IF(AND($F28="A",$F7&gt;0),$R7/'DATI (2)'!$E$13,0)</f>
        <v>0</v>
      </c>
      <c r="BK28" s="244">
        <f>IF(AND($F28="a",$F7&gt;0),$Z28,0)</f>
        <v>0</v>
      </c>
      <c r="BL28" s="242">
        <f>IF(AND($F28="A",$F7=0),$R7/'DATI (2)'!$E$13,0)</f>
        <v>150.8</v>
      </c>
      <c r="BM28" s="244">
        <f>IF(AND($F28="a",$F7=0,R7&gt;0),$Z28*$BT28,0)</f>
        <v>22620.377144768005</v>
      </c>
      <c r="BN28" s="242">
        <f>IF(AND($F28="A"),$S7/'DATI (2)'!$E$13,0)</f>
        <v>0</v>
      </c>
      <c r="BO28" s="244">
        <f>IF(AND($F28="a",$S7&gt;0),$Z28*$BU28,0)</f>
        <v>0</v>
      </c>
      <c r="BQ28" s="245">
        <f>Q7</f>
        <v>150.8</v>
      </c>
      <c r="BR28" s="245">
        <f>R7/'DATI (2)'!$E$13</f>
        <v>150.8</v>
      </c>
      <c r="BS28" s="245">
        <f>S7/'DATI (2)'!$E$14</f>
        <v>0</v>
      </c>
      <c r="BT28" s="245">
        <f>BR28/BQ28</f>
        <v>1</v>
      </c>
      <c r="BU28" s="245">
        <f>BS28/BQ28</f>
        <v>0</v>
      </c>
      <c r="BW28" s="263">
        <f>IF(F28="E",$Q$41*G28/$AI$41,0)</f>
        <v>0</v>
      </c>
    </row>
    <row r="29" spans="4:75" ht="19.5" customHeight="1">
      <c r="D29" s="246">
        <f>D8</f>
        <v>0</v>
      </c>
      <c r="E29" s="247">
        <f>F8</f>
        <v>0</v>
      </c>
      <c r="F29" s="248">
        <f>N8</f>
        <v>0</v>
      </c>
      <c r="G29" s="249">
        <f>Q8</f>
        <v>0</v>
      </c>
      <c r="H29" s="250">
        <f>AC8</f>
        <v>0</v>
      </c>
      <c r="I29" s="250"/>
      <c r="J29" s="250"/>
      <c r="K29" s="251">
        <f>(H29)*0.1</f>
        <v>0</v>
      </c>
      <c r="L29" s="251"/>
      <c r="M29" s="252">
        <f>IF($C$5="s",IF(SUM($H$41)&lt;=1000000,SUM(H29)*0.02,SUM(H29)*0.01),0)</f>
        <v>0</v>
      </c>
      <c r="N29" s="252"/>
      <c r="O29" s="253">
        <f>(M29*(0.04))</f>
        <v>0</v>
      </c>
      <c r="P29" s="254">
        <f>(M29+O29)*0.22</f>
        <v>0</v>
      </c>
      <c r="Q29" s="255">
        <f>IF(F29="E",G29*12,0)</f>
        <v>0</v>
      </c>
      <c r="R29" s="256">
        <f>BW29*0.22</f>
        <v>0</v>
      </c>
      <c r="S29" s="257">
        <f>IF(F29="E",H29*1.5%,0)</f>
        <v>0</v>
      </c>
      <c r="T29" s="258">
        <f>S29*0.02</f>
        <v>0</v>
      </c>
      <c r="U29" s="259">
        <f>(S29+T29)*0.22</f>
        <v>0</v>
      </c>
      <c r="V29" s="255">
        <f>H29*0.15</f>
        <v>0</v>
      </c>
      <c r="W29" s="253">
        <f>V29*0.04</f>
        <v>0</v>
      </c>
      <c r="X29" s="260">
        <f>0.22*(W29+V29)</f>
        <v>0</v>
      </c>
      <c r="Y29" s="261">
        <f>SUM(K29:X29)-Q29+BW29</f>
        <v>0</v>
      </c>
      <c r="Z29" s="262">
        <f>Y29+H29</f>
        <v>0</v>
      </c>
      <c r="AA29" s="262"/>
      <c r="AB29" s="240"/>
      <c r="AC29" s="240"/>
      <c r="AF29" s="151"/>
      <c r="AG29" s="151"/>
      <c r="AH29" s="241">
        <f>IF($N8="E",$T8,0)</f>
        <v>0</v>
      </c>
      <c r="AI29" s="241">
        <f>IF(OR($F29="E",$F29="E"),$G29,0)</f>
        <v>0</v>
      </c>
      <c r="AJ29" s="241">
        <f>IF(OR($F29="B",$F29="C"),$G29,0)</f>
        <v>0</v>
      </c>
      <c r="AK29" s="241">
        <f>IF($F29="A",$G29,0)</f>
        <v>0</v>
      </c>
      <c r="AL29" s="241">
        <f>IF($N8="A",$F8,0)</f>
        <v>0</v>
      </c>
      <c r="AM29" s="241">
        <f>IF(AND($F29="A",$F8&gt;0),$G29,0)</f>
        <v>0</v>
      </c>
      <c r="AN29" s="241">
        <f>IF($F8&gt;0,$G29,0)</f>
        <v>0</v>
      </c>
      <c r="AQ29" s="242">
        <f>IF($N8="E",$R8/'DATI (2)'!$E$13,0)</f>
        <v>0</v>
      </c>
      <c r="AR29" s="242">
        <f>IF($N8="E",$S8/'DATI (2)'!$E$14,0)</f>
        <v>0</v>
      </c>
      <c r="AS29" s="243">
        <f>($R8)/'DATI (2)'!$E$13</f>
        <v>0</v>
      </c>
      <c r="AT29" s="243">
        <f>$S8/'DATI (2)'!$E$14</f>
        <v>0</v>
      </c>
      <c r="AV29" s="242">
        <f>IF(AND($F29="E",$F8&gt;0),$R8/'DATI (2)'!$E$13,0)</f>
        <v>0</v>
      </c>
      <c r="AW29" s="244">
        <f>IF(AND($F29="E",$F8&gt;0),$Z29,0)</f>
        <v>0</v>
      </c>
      <c r="AX29" s="242">
        <f>IF(AND($F29="E",$F8=0),$R8/'DATI (2)'!$E$13,0)</f>
        <v>0</v>
      </c>
      <c r="AY29" s="244">
        <f>IF(AND($F29="E",$F8=0,R8&gt;0),$Z29*$BT29,0)</f>
        <v>0</v>
      </c>
      <c r="AZ29" s="242">
        <f>IF(AND($F29="E"),$S8/'DATI (2)'!$E$13,0)</f>
        <v>0</v>
      </c>
      <c r="BA29" s="244">
        <f>IF(AND($F29="E",$S8&gt;0),$Z29*$BU29,0)</f>
        <v>0</v>
      </c>
      <c r="BC29" s="242">
        <f>IF(AND(OR($F29="B",$F29="C"),$F8&gt;0),$R8/'DATI (2)'!$E$13,0)</f>
        <v>0</v>
      </c>
      <c r="BD29" s="244">
        <f>IF(AND(AND(OR($F29="B",$F29="C")),$F8&gt;0),$Z29,0)</f>
        <v>0</v>
      </c>
      <c r="BE29" s="242">
        <f>IF(AND(OR($F29="B",$F29="C"),$F8=0),$R8/'DATI (2)'!$E$13,0)</f>
        <v>0</v>
      </c>
      <c r="BF29" s="244">
        <f>IF(AND((OR($F29="B",$F29="C")),$F8=0,R8&gt;0),$Z29*$BT29,0)</f>
        <v>0</v>
      </c>
      <c r="BG29" s="242">
        <f>IF(AND(OR($F29="B",$F29="C")),$S8/'DATI (2)'!$E$13,0)</f>
        <v>0</v>
      </c>
      <c r="BH29" s="244">
        <f>IF(AND((OR($F29="B",$F29="C")),$S8&gt;0),$Z29*$BU29,0)</f>
        <v>0</v>
      </c>
      <c r="BJ29" s="242">
        <f>IF(AND($F29="A",$F8&gt;0),$R8/'DATI (2)'!$E$13,0)</f>
        <v>0</v>
      </c>
      <c r="BK29" s="244">
        <f>IF(AND($F29="a",$F8&gt;0),$Z29,0)</f>
        <v>0</v>
      </c>
      <c r="BL29" s="242">
        <f>IF(AND($F29="A",$F8=0),$R8/'DATI (2)'!$E$13,0)</f>
        <v>0</v>
      </c>
      <c r="BM29" s="244">
        <f>IF(AND($F29="a",$F8=0,R8&gt;0),$Z29*$BT29,0)</f>
        <v>0</v>
      </c>
      <c r="BN29" s="242">
        <f>IF(AND($F29="A"),$S8/'DATI (2)'!$E$13,0)</f>
        <v>0</v>
      </c>
      <c r="BO29" s="244">
        <f>IF(AND($F29="a",$S8&gt;0),$Z29*$BU29,0)</f>
        <v>0</v>
      </c>
      <c r="BQ29" s="245">
        <f>Q8</f>
        <v>0</v>
      </c>
      <c r="BR29" s="245">
        <f>R8/'DATI (2)'!$E$13</f>
        <v>0</v>
      </c>
      <c r="BS29" s="245">
        <f>S8/'DATI (2)'!$E$14</f>
        <v>0</v>
      </c>
      <c r="BT29" s="245" t="e">
        <f>BR29/BQ29</f>
        <v>#DIV/0!</v>
      </c>
      <c r="BU29" s="245" t="e">
        <f>BS29/BQ29</f>
        <v>#DIV/0!</v>
      </c>
      <c r="BW29" s="263">
        <f>IF(F29="E",$Q$41*G29/$AI$41,0)</f>
        <v>0</v>
      </c>
    </row>
    <row r="30" spans="4:75" ht="19.5" customHeight="1">
      <c r="D30" s="246">
        <f>D9</f>
        <v>0</v>
      </c>
      <c r="E30" s="247">
        <f>F9</f>
        <v>0</v>
      </c>
      <c r="F30" s="248">
        <f>N9</f>
        <v>0</v>
      </c>
      <c r="G30" s="249">
        <f>Q9</f>
        <v>0</v>
      </c>
      <c r="H30" s="250">
        <f>AC9</f>
        <v>0</v>
      </c>
      <c r="I30" s="250"/>
      <c r="J30" s="250"/>
      <c r="K30" s="251">
        <f>(H30)*0.1</f>
        <v>0</v>
      </c>
      <c r="L30" s="251"/>
      <c r="M30" s="252">
        <f>IF($C$5="s",IF(SUM($H$41)&lt;=1000000,SUM(H30)*0.02,SUM(H30)*0.01),0)</f>
        <v>0</v>
      </c>
      <c r="N30" s="252"/>
      <c r="O30" s="253">
        <f>(M30*(0.04))</f>
        <v>0</v>
      </c>
      <c r="P30" s="254">
        <f>(M30+O30)*0.22</f>
        <v>0</v>
      </c>
      <c r="Q30" s="255">
        <f>IF(F30="E",G30*12,0)</f>
        <v>0</v>
      </c>
      <c r="R30" s="256">
        <f>BW30*0.22</f>
        <v>0</v>
      </c>
      <c r="S30" s="257">
        <f>IF(F30="E",H30*1.5%,0)</f>
        <v>0</v>
      </c>
      <c r="T30" s="258">
        <f>S30*0.02</f>
        <v>0</v>
      </c>
      <c r="U30" s="259">
        <f>(S30+T30)*0.22</f>
        <v>0</v>
      </c>
      <c r="V30" s="255">
        <f>H30*0.15</f>
        <v>0</v>
      </c>
      <c r="W30" s="253">
        <f>V30*0.04</f>
        <v>0</v>
      </c>
      <c r="X30" s="260">
        <f>0.22*(W30+V30)</f>
        <v>0</v>
      </c>
      <c r="Y30" s="261">
        <f>SUM(K30:X30)-Q30+BW30</f>
        <v>0</v>
      </c>
      <c r="Z30" s="262">
        <f>Y30+H30</f>
        <v>0</v>
      </c>
      <c r="AA30" s="262"/>
      <c r="AB30" s="240"/>
      <c r="AC30" s="240"/>
      <c r="AF30" s="151"/>
      <c r="AG30" s="151"/>
      <c r="AH30" s="241">
        <f>IF($N9="E",$T9,0)</f>
        <v>0</v>
      </c>
      <c r="AI30" s="241">
        <f>IF(OR($F30="E",$F30="E"),$G30,0)</f>
        <v>0</v>
      </c>
      <c r="AJ30" s="241">
        <f>IF(OR($F30="B",$F30="C"),$G30,0)</f>
        <v>0</v>
      </c>
      <c r="AK30" s="241">
        <f>IF($F30="A",$G30,0)</f>
        <v>0</v>
      </c>
      <c r="AL30" s="241">
        <f>IF($N9="A",$F9,0)</f>
        <v>0</v>
      </c>
      <c r="AM30" s="241">
        <f>IF(AND($F30="A",$F9&gt;0),$G30,0)</f>
        <v>0</v>
      </c>
      <c r="AN30" s="241">
        <f>IF($F9&gt;0,$G30,0)</f>
        <v>0</v>
      </c>
      <c r="AQ30" s="242">
        <f>IF($N9="E",$R9/'DATI (2)'!$E$13,0)</f>
        <v>0</v>
      </c>
      <c r="AR30" s="242">
        <f>IF($N9="E",$S9/'DATI (2)'!$E$14,0)</f>
        <v>0</v>
      </c>
      <c r="AS30" s="243">
        <f>($R9)/'DATI (2)'!$E$13</f>
        <v>0</v>
      </c>
      <c r="AT30" s="243">
        <f>$S9/'DATI (2)'!$E$14</f>
        <v>0</v>
      </c>
      <c r="AV30" s="242">
        <f>IF(AND($F30="E",$F9&gt;0),$R9/'DATI (2)'!$E$13,0)</f>
        <v>0</v>
      </c>
      <c r="AW30" s="244">
        <f>IF(AND($F30="E",$F9&gt;0),$Z30,0)</f>
        <v>0</v>
      </c>
      <c r="AX30" s="242">
        <f>IF(AND($F30="E",$F9=0),$R9/'DATI (2)'!$E$13,0)</f>
        <v>0</v>
      </c>
      <c r="AY30" s="244">
        <f>IF(AND($F30="E",$F9=0,R9&gt;0),$Z30*$BT30,0)</f>
        <v>0</v>
      </c>
      <c r="AZ30" s="242">
        <f>IF(AND($F30="E"),$S9/'DATI (2)'!$E$13,0)</f>
        <v>0</v>
      </c>
      <c r="BA30" s="244">
        <f>IF(AND($F30="E",$S9&gt;0),$Z30*$BU30,0)</f>
        <v>0</v>
      </c>
      <c r="BC30" s="242">
        <f>IF(AND(OR($F30="B",$F30="C"),$F9&gt;0),$R9/'DATI (2)'!$E$13,0)</f>
        <v>0</v>
      </c>
      <c r="BD30" s="244">
        <f>IF(AND(AND(OR($F30="B",$F30="C")),$F9&gt;0),$Z30,0)</f>
        <v>0</v>
      </c>
      <c r="BE30" s="242">
        <f>IF(AND(OR($F30="B",$F30="C"),$F9=0),$R9/'DATI (2)'!$E$13,0)</f>
        <v>0</v>
      </c>
      <c r="BF30" s="244">
        <f>IF(AND((OR($F30="B",$F30="C")),$F9=0,R9&gt;0),$Z30*$BT30,0)</f>
        <v>0</v>
      </c>
      <c r="BG30" s="242">
        <f>IF(AND(OR($F30="B",$F30="C")),$S9/'DATI (2)'!$E$13,0)</f>
        <v>0</v>
      </c>
      <c r="BH30" s="244">
        <f>IF(AND((OR($F30="B",$F30="C")),$S9&gt;0),$Z30*$BU30,0)</f>
        <v>0</v>
      </c>
      <c r="BJ30" s="242">
        <f>IF(AND($F30="A",$F9&gt;0),$R9/'DATI (2)'!$E$13,0)</f>
        <v>0</v>
      </c>
      <c r="BK30" s="244">
        <f>IF(AND($F30="a",$F9&gt;0),$Z30*BT30,0)</f>
        <v>0</v>
      </c>
      <c r="BL30" s="242">
        <f>IF(AND($F30="A",$F9=0),$R9/'DATI (2)'!$E$13,0)</f>
        <v>0</v>
      </c>
      <c r="BM30" s="244">
        <f>IF(AND($F30="a",$F9=0,R9&gt;0),$Z30*$BT30,0)</f>
        <v>0</v>
      </c>
      <c r="BN30" s="242">
        <f>IF(AND($F30="A"),$S9/'DATI (2)'!$E$13,0)</f>
        <v>0</v>
      </c>
      <c r="BO30" s="244">
        <f>IF(AND($F30="a",$S9&gt;0),$Z30*$BU30,0)</f>
        <v>0</v>
      </c>
      <c r="BQ30" s="245">
        <f>Q9</f>
        <v>0</v>
      </c>
      <c r="BR30" s="245">
        <f>R9/'DATI (2)'!$E$13</f>
        <v>0</v>
      </c>
      <c r="BS30" s="245">
        <f>S9/'DATI (2)'!$E$14</f>
        <v>0</v>
      </c>
      <c r="BT30" s="245" t="e">
        <f>BR30/BQ30</f>
        <v>#DIV/0!</v>
      </c>
      <c r="BU30" s="245" t="e">
        <f>BS30/BQ30</f>
        <v>#DIV/0!</v>
      </c>
      <c r="BW30" s="263">
        <f>IF(F30="E",$Q$41*G30/$AI$41,0)</f>
        <v>0</v>
      </c>
    </row>
    <row r="31" spans="4:75" ht="19.5" customHeight="1">
      <c r="D31" s="246">
        <f>D10</f>
        <v>0</v>
      </c>
      <c r="E31" s="247">
        <f>F10</f>
        <v>0</v>
      </c>
      <c r="F31" s="248">
        <f>N10</f>
        <v>0</v>
      </c>
      <c r="G31" s="249">
        <f>Q10</f>
        <v>0</v>
      </c>
      <c r="H31" s="250">
        <f>AC10</f>
        <v>0</v>
      </c>
      <c r="I31" s="250"/>
      <c r="J31" s="250"/>
      <c r="K31" s="251">
        <f>(H31)*0.1</f>
        <v>0</v>
      </c>
      <c r="L31" s="251"/>
      <c r="M31" s="252">
        <f>IF($C$5="s",IF(SUM($H$41)&lt;=1000000,SUM(H31)*0.02,SUM(H31)*0.01),0)</f>
        <v>0</v>
      </c>
      <c r="N31" s="252"/>
      <c r="O31" s="253">
        <f>(M31*(0.04))</f>
        <v>0</v>
      </c>
      <c r="P31" s="254">
        <f>(M31+O31)*0.22</f>
        <v>0</v>
      </c>
      <c r="Q31" s="255">
        <f>IF(F31="E",G31*12,0)</f>
        <v>0</v>
      </c>
      <c r="R31" s="256">
        <f>BW31*0.22</f>
        <v>0</v>
      </c>
      <c r="S31" s="257">
        <f>IF(F31="E",H31*1.5%,0)</f>
        <v>0</v>
      </c>
      <c r="T31" s="258">
        <f>S31*0.02</f>
        <v>0</v>
      </c>
      <c r="U31" s="259">
        <f>(S31+T31)*0.22</f>
        <v>0</v>
      </c>
      <c r="V31" s="255">
        <f>H31*0.15</f>
        <v>0</v>
      </c>
      <c r="W31" s="253">
        <f>V31*0.04</f>
        <v>0</v>
      </c>
      <c r="X31" s="260">
        <f>0.22*(W31+V31)</f>
        <v>0</v>
      </c>
      <c r="Y31" s="261">
        <f>SUM(K31:X31)-Q31+BW31</f>
        <v>0</v>
      </c>
      <c r="Z31" s="262">
        <f>Y31+H31</f>
        <v>0</v>
      </c>
      <c r="AA31" s="262"/>
      <c r="AB31" s="240"/>
      <c r="AC31" s="240"/>
      <c r="AF31" s="151"/>
      <c r="AG31" s="151"/>
      <c r="AH31" s="241">
        <f>IF($N10="E",$T10,0)</f>
        <v>0</v>
      </c>
      <c r="AI31" s="241">
        <f>IF(OR($F31="E",$F31="E"),$G31,0)</f>
        <v>0</v>
      </c>
      <c r="AJ31" s="241">
        <f>IF(OR($F31="B",$F31="C"),$G31,0)</f>
        <v>0</v>
      </c>
      <c r="AK31" s="241">
        <f>IF($F31="A",$G31,0)</f>
        <v>0</v>
      </c>
      <c r="AL31" s="241">
        <f>IF($N10="A",$F10,0)</f>
        <v>0</v>
      </c>
      <c r="AM31" s="241">
        <f>IF(AND($F31="A",$F10&gt;0),$G31,0)</f>
        <v>0</v>
      </c>
      <c r="AN31" s="241">
        <f>IF($F10&gt;0,$G31,0)</f>
        <v>0</v>
      </c>
      <c r="AQ31" s="242">
        <f>IF($N10="E",$R10/'DATI (2)'!$E$13,0)</f>
        <v>0</v>
      </c>
      <c r="AR31" s="242">
        <f>IF($N10="E",$S10/'DATI (2)'!$E$14,0)</f>
        <v>0</v>
      </c>
      <c r="AS31" s="243">
        <f>($R10)/'DATI (2)'!$E$13</f>
        <v>0</v>
      </c>
      <c r="AT31" s="243">
        <f>$S10/'DATI (2)'!$E$14</f>
        <v>0</v>
      </c>
      <c r="AV31" s="242">
        <f>IF(AND($F31="E",$F10&gt;0),$R10/'DATI (2)'!$E$13,0)</f>
        <v>0</v>
      </c>
      <c r="AW31" s="244">
        <f>IF(AND($F31="E",$F10&gt;0),$Z31,0)</f>
        <v>0</v>
      </c>
      <c r="AX31" s="242">
        <f>IF(AND($F31="E",$F10=0),$R10/'DATI (2)'!$E$13,0)</f>
        <v>0</v>
      </c>
      <c r="AY31" s="244">
        <f>IF(AND($F31="E",$F10=0,R10&gt;0),$Z31*$BT31,0)</f>
        <v>0</v>
      </c>
      <c r="AZ31" s="242">
        <f>IF(AND($F31="E"),$S10/'DATI (2)'!$E$13,0)</f>
        <v>0</v>
      </c>
      <c r="BA31" s="244">
        <f>IF(AND($F31="E",$S10&gt;0),$Z31*$BU31,0)</f>
        <v>0</v>
      </c>
      <c r="BB31" s="264"/>
      <c r="BC31" s="242">
        <f>IF(AND(OR($F31="B",$F31="C"),$F10&gt;0),$R10/'DATI (2)'!$E$13,0)</f>
        <v>0</v>
      </c>
      <c r="BD31" s="244">
        <f>IF(AND(AND(OR($F31="B",$F31="C")),$F10&gt;0),$Z31,0)</f>
        <v>0</v>
      </c>
      <c r="BE31" s="242">
        <f>IF(AND(OR($F31="B",$F31="C"),$F10=0),$R10/'DATI (2)'!$E$13,0)</f>
        <v>0</v>
      </c>
      <c r="BF31" s="244">
        <f>IF(AND((OR($F31="B",$F31="C")),$F10=0,R10&gt;0),$Z31*$BT31,0)</f>
        <v>0</v>
      </c>
      <c r="BG31" s="242">
        <f>IF(AND(OR($F31="B",$F31="C")),$S10/'DATI (2)'!$E$13,0)</f>
        <v>0</v>
      </c>
      <c r="BH31" s="244">
        <f>IF(AND((OR($F31="B",$F31="C")),$S10&gt;0),$Z31*$BU31,0)</f>
        <v>0</v>
      </c>
      <c r="BJ31" s="242">
        <f>IF(AND($F31="A",$F10&gt;0),$R10/'DATI (2)'!$E$13,0)</f>
        <v>0</v>
      </c>
      <c r="BK31" s="244">
        <f>IF(AND($F31="a",$F10&gt;0),$Z31,0)</f>
        <v>0</v>
      </c>
      <c r="BL31" s="242">
        <f>IF(AND($F31="A",$F10=0),$R10/'DATI (2)'!$E$13,0)</f>
        <v>0</v>
      </c>
      <c r="BM31" s="244">
        <f>IF(AND($F31="a",$F10=0,R10&gt;0),$Z31*$BT31,0)</f>
        <v>0</v>
      </c>
      <c r="BN31" s="242">
        <f>IF(AND($F31="A"),$S10/'DATI (2)'!$E$13,0)</f>
        <v>0</v>
      </c>
      <c r="BO31" s="244">
        <f>IF(AND($F31="a",$S10&gt;0),$Z31*$BU31,0)</f>
        <v>0</v>
      </c>
      <c r="BQ31" s="245">
        <f>Q10</f>
        <v>0</v>
      </c>
      <c r="BR31" s="245">
        <f>R10/'DATI (2)'!$E$13</f>
        <v>0</v>
      </c>
      <c r="BS31" s="245">
        <f>S10/'DATI (2)'!$E$14</f>
        <v>0</v>
      </c>
      <c r="BT31" s="245" t="e">
        <f>BR31/BQ31</f>
        <v>#DIV/0!</v>
      </c>
      <c r="BU31" s="245" t="e">
        <f>BS31/BQ31</f>
        <v>#DIV/0!</v>
      </c>
      <c r="BW31" s="263">
        <f>IF(F31="E",$Q$41*G31/$AI$41,0)</f>
        <v>0</v>
      </c>
    </row>
    <row r="32" spans="4:75" ht="19.5" customHeight="1">
      <c r="D32" s="246">
        <f>D11</f>
        <v>0</v>
      </c>
      <c r="E32" s="247">
        <f>F11</f>
        <v>0</v>
      </c>
      <c r="F32" s="248">
        <f>N11</f>
        <v>0</v>
      </c>
      <c r="G32" s="249">
        <f>Q11</f>
        <v>0</v>
      </c>
      <c r="H32" s="250">
        <f>AC11</f>
        <v>0</v>
      </c>
      <c r="I32" s="250"/>
      <c r="J32" s="250"/>
      <c r="K32" s="251">
        <f>(H32)*0.1</f>
        <v>0</v>
      </c>
      <c r="L32" s="251"/>
      <c r="M32" s="252">
        <f>IF($C$5="s",IF(SUM($H$41)&lt;=1000000,SUM(H32)*0.02,SUM(H32)*0.01),0)</f>
        <v>0</v>
      </c>
      <c r="N32" s="252"/>
      <c r="O32" s="253">
        <f>(M32*(0.04))</f>
        <v>0</v>
      </c>
      <c r="P32" s="254">
        <f>(M32+O32)*0.22</f>
        <v>0</v>
      </c>
      <c r="Q32" s="255">
        <f>IF(F32="E",G32*12,0)</f>
        <v>0</v>
      </c>
      <c r="R32" s="256">
        <f>BW32*0.22</f>
        <v>0</v>
      </c>
      <c r="S32" s="257">
        <f>IF(F32="E",H32*1.5%,0)</f>
        <v>0</v>
      </c>
      <c r="T32" s="258">
        <f>S32*0.02</f>
        <v>0</v>
      </c>
      <c r="U32" s="259">
        <f>(S32+T32)*0.22</f>
        <v>0</v>
      </c>
      <c r="V32" s="255">
        <f>H32*0.15</f>
        <v>0</v>
      </c>
      <c r="W32" s="253">
        <f>V32*0.04</f>
        <v>0</v>
      </c>
      <c r="X32" s="260">
        <f>0.22*(W32+V32)</f>
        <v>0</v>
      </c>
      <c r="Y32" s="261">
        <f>SUM(K32:X32)-Q32+BW32</f>
        <v>0</v>
      </c>
      <c r="Z32" s="262">
        <f>Y32+H32</f>
        <v>0</v>
      </c>
      <c r="AA32" s="262"/>
      <c r="AB32" s="240"/>
      <c r="AC32" s="240"/>
      <c r="AF32" s="151"/>
      <c r="AG32" s="151"/>
      <c r="AH32" s="241">
        <f>IF($N11="E",$T11,0)</f>
        <v>0</v>
      </c>
      <c r="AI32" s="241">
        <f>IF(OR($F32="E",$F32="E"),$G32,0)</f>
        <v>0</v>
      </c>
      <c r="AJ32" s="241">
        <f>IF(OR($F32="B",$F32="C"),$G32,0)</f>
        <v>0</v>
      </c>
      <c r="AK32" s="241">
        <f>IF($F32="A",$G32,0)</f>
        <v>0</v>
      </c>
      <c r="AL32" s="241">
        <f>IF($N11="A",$F11,0)</f>
        <v>0</v>
      </c>
      <c r="AM32" s="241">
        <f>IF(AND($F32="A",$F11&gt;0),$G32,0)</f>
        <v>0</v>
      </c>
      <c r="AN32" s="241">
        <f>IF($F11&gt;0,$G32,0)</f>
        <v>0</v>
      </c>
      <c r="AQ32" s="242">
        <f>IF($N11="E",$R11/'DATI (2)'!$E$13,0)</f>
        <v>0</v>
      </c>
      <c r="AR32" s="242">
        <f>IF($N11="E",$S11/'DATI (2)'!$E$14,0)</f>
        <v>0</v>
      </c>
      <c r="AS32" s="243">
        <f>($R11)/'DATI (2)'!$E$13</f>
        <v>0</v>
      </c>
      <c r="AT32" s="243">
        <f>$S11/'DATI (2)'!$E$14</f>
        <v>0</v>
      </c>
      <c r="AV32" s="242">
        <f>IF(AND($F32="E",$F11&gt;0),$R11/'DATI (2)'!$E$13,0)</f>
        <v>0</v>
      </c>
      <c r="AW32" s="244">
        <f>IF(AND($F32="E",$F11&gt;0),$Z32,0)</f>
        <v>0</v>
      </c>
      <c r="AX32" s="242">
        <f>IF(AND($F32="E",$F11=0),$R11/'DATI (2)'!$E$13,0)</f>
        <v>0</v>
      </c>
      <c r="AY32" s="244">
        <f>IF(AND($F32="E",$F11=0,R11&gt;0),$Z32*$BT32,0)</f>
        <v>0</v>
      </c>
      <c r="AZ32" s="242">
        <f>IF(AND($F32="E"),$S11/'DATI (2)'!$E$13,0)</f>
        <v>0</v>
      </c>
      <c r="BA32" s="244">
        <f>IF(AND($F32="E",$S11&gt;0),$Z32*$BU32,0)</f>
        <v>0</v>
      </c>
      <c r="BC32" s="242">
        <f>IF(AND(OR($F32="B",$F32="C"),$F11&gt;0),$R11/'DATI (2)'!$E$13,0)</f>
        <v>0</v>
      </c>
      <c r="BD32" s="244">
        <f>IF(AND(AND(OR($F32="B",$F32="C")),$F11&gt;0),$Z32,0)</f>
        <v>0</v>
      </c>
      <c r="BE32" s="242">
        <f>IF(AND(OR($F32="B",$F32="C"),$F11=0),$R11/'DATI (2)'!$E$13,0)</f>
        <v>0</v>
      </c>
      <c r="BF32" s="244">
        <f>IF(AND((OR($F32="B",$F32="C")),$F11=0,R11&gt;0),$Z32*$BT32,0)</f>
        <v>0</v>
      </c>
      <c r="BG32" s="242">
        <f>IF(AND(OR($F32="B",$F32="C")),$S11/'DATI (2)'!$E$13,0)</f>
        <v>0</v>
      </c>
      <c r="BH32" s="244">
        <f>IF(AND((OR($F32="B",$F32="C")),$S11&gt;0),$Z32*$BU32,0)</f>
        <v>0</v>
      </c>
      <c r="BJ32" s="242">
        <f>IF(AND($F32="A",$F11&gt;0),$R11/'DATI (2)'!$E$13,0)</f>
        <v>0</v>
      </c>
      <c r="BK32" s="244">
        <f>IF(AND($F32="a",$F11&gt;0),$Z32,0)</f>
        <v>0</v>
      </c>
      <c r="BL32" s="242">
        <f>IF(AND($F32="A",$F11=0),$R11/'DATI (2)'!$E$13,0)</f>
        <v>0</v>
      </c>
      <c r="BM32" s="244">
        <f>IF(AND($F32="a",$F11=0,R11&gt;0),$Z32*$BT32,0)</f>
        <v>0</v>
      </c>
      <c r="BN32" s="242">
        <f>IF(AND($F32="A"),$S11/'DATI (2)'!$E$13,0)</f>
        <v>0</v>
      </c>
      <c r="BO32" s="244">
        <f>IF(AND($F32="a",$S11&gt;0),$Z32*$BU32,0)</f>
        <v>0</v>
      </c>
      <c r="BQ32" s="245">
        <f>Q11</f>
        <v>0</v>
      </c>
      <c r="BR32" s="245">
        <f>R11/'DATI (2)'!$E$13</f>
        <v>0</v>
      </c>
      <c r="BS32" s="245">
        <f>S11/'DATI (2)'!$E$14</f>
        <v>0</v>
      </c>
      <c r="BT32" s="245" t="e">
        <f>BR32/BQ32</f>
        <v>#DIV/0!</v>
      </c>
      <c r="BU32" s="245" t="e">
        <f>BS32/BQ32</f>
        <v>#DIV/0!</v>
      </c>
      <c r="BW32" s="68">
        <f>IF(F32="E",$Q$41*G32/$AI$41,0)</f>
        <v>0</v>
      </c>
    </row>
    <row r="33" spans="4:75" ht="19.5" customHeight="1">
      <c r="D33" s="246">
        <f>D12</f>
        <v>0</v>
      </c>
      <c r="E33" s="247">
        <f>F12</f>
        <v>0</v>
      </c>
      <c r="F33" s="248">
        <f>N12</f>
        <v>0</v>
      </c>
      <c r="G33" s="249">
        <f>Q12</f>
        <v>0</v>
      </c>
      <c r="H33" s="250">
        <f>AC12</f>
        <v>0</v>
      </c>
      <c r="I33" s="250"/>
      <c r="J33" s="250"/>
      <c r="K33" s="251">
        <f>(H33)*0.1</f>
        <v>0</v>
      </c>
      <c r="L33" s="251"/>
      <c r="M33" s="252">
        <f>IF($C$5="s",IF(SUM($H$41)&lt;=1000000,SUM(H33)*0.02,SUM(H33)*0.01),0)</f>
        <v>0</v>
      </c>
      <c r="N33" s="252"/>
      <c r="O33" s="253">
        <f>(M33*(0.04))</f>
        <v>0</v>
      </c>
      <c r="P33" s="254">
        <f>(M33+O33)*0.22</f>
        <v>0</v>
      </c>
      <c r="Q33" s="255">
        <f>IF(F33="E",G33*12,0)</f>
        <v>0</v>
      </c>
      <c r="R33" s="256">
        <f>BW33*0.22</f>
        <v>0</v>
      </c>
      <c r="S33" s="257">
        <f>IF(F33="E",H33*1.5%,0)</f>
        <v>0</v>
      </c>
      <c r="T33" s="258">
        <f>S33*0.02</f>
        <v>0</v>
      </c>
      <c r="U33" s="259">
        <f>(S33+T33)*0.22</f>
        <v>0</v>
      </c>
      <c r="V33" s="255">
        <f>H33*0.15</f>
        <v>0</v>
      </c>
      <c r="W33" s="253">
        <f>V33*0.04</f>
        <v>0</v>
      </c>
      <c r="X33" s="260">
        <f>0.22*(W33+V33)</f>
        <v>0</v>
      </c>
      <c r="Y33" s="261">
        <f>SUM(K33:X33)-Q33+BW33</f>
        <v>0</v>
      </c>
      <c r="Z33" s="262">
        <f>Y33+H33</f>
        <v>0</v>
      </c>
      <c r="AA33" s="262"/>
      <c r="AB33" s="240"/>
      <c r="AC33" s="240"/>
      <c r="AF33" s="151"/>
      <c r="AG33" s="151"/>
      <c r="AH33" s="241">
        <f>IF($N12="E",$T12,0)</f>
        <v>0</v>
      </c>
      <c r="AI33" s="241">
        <f>IF(OR($F33="E",$F33="E"),$G33,0)</f>
        <v>0</v>
      </c>
      <c r="AJ33" s="241">
        <f>IF(OR($F33="B",$F33="C"),$G33,0)</f>
        <v>0</v>
      </c>
      <c r="AK33" s="241">
        <f>IF($F33="A",$G33,0)</f>
        <v>0</v>
      </c>
      <c r="AL33" s="241">
        <f>IF($N12="A",$F12,0)</f>
        <v>0</v>
      </c>
      <c r="AM33" s="241">
        <f>IF(AND($F33="A",$F12&gt;0),$G33,0)</f>
        <v>0</v>
      </c>
      <c r="AN33" s="241">
        <f>IF($F12&gt;0,$G33,0)</f>
        <v>0</v>
      </c>
      <c r="AQ33" s="242">
        <f>IF($N12="E",$R12/'DATI (2)'!$E$13,0)</f>
        <v>0</v>
      </c>
      <c r="AR33" s="242">
        <f>IF($N12="E",$S12/'DATI (2)'!$E$14,0)</f>
        <v>0</v>
      </c>
      <c r="AS33" s="243">
        <f>($R12)/'DATI (2)'!$E$13</f>
        <v>0</v>
      </c>
      <c r="AT33" s="243">
        <f>$S12/'DATI (2)'!$E$14</f>
        <v>0</v>
      </c>
      <c r="AV33" s="242">
        <f>IF(AND($F33="E",$F12&gt;0),$R12/'DATI (2)'!$E$13,0)</f>
        <v>0</v>
      </c>
      <c r="AW33" s="244">
        <f>IF(AND($F33="E",$F12&gt;0),$Z33,0)</f>
        <v>0</v>
      </c>
      <c r="AX33" s="242">
        <f>IF(AND($F33="E",$F12=0),$R12/'DATI (2)'!$E$13,0)</f>
        <v>0</v>
      </c>
      <c r="AY33" s="244">
        <f>IF(AND($F33="E",$F12=0,R12&gt;0),$Z33*$BT33,0)</f>
        <v>0</v>
      </c>
      <c r="AZ33" s="242">
        <f>IF(AND($F33="E"),$S12/'DATI (2)'!$E$13,0)</f>
        <v>0</v>
      </c>
      <c r="BA33" s="244">
        <f>IF(AND($F33="E",$S12&gt;0),$Z33*$BU33,0)</f>
        <v>0</v>
      </c>
      <c r="BC33" s="242">
        <f>IF(AND(OR($F33="B",$F33="C"),$F12&gt;0),$R12/'DATI (2)'!$E$13,0)</f>
        <v>0</v>
      </c>
      <c r="BD33" s="244">
        <f>IF(AND(AND(OR($F33="B",$F33="C")),$F12&gt;0),$Z33,0)</f>
        <v>0</v>
      </c>
      <c r="BE33" s="242">
        <f>IF(AND(OR($F33="B",$F33="C"),$F12=0),$R12/'DATI (2)'!$E$13,0)</f>
        <v>0</v>
      </c>
      <c r="BF33" s="244">
        <f>IF(AND((OR($F33="B",$F33="C")),$F12=0,R12&gt;0),$Z33*$BT33,0)</f>
        <v>0</v>
      </c>
      <c r="BG33" s="242">
        <f>IF(AND(OR($F33="B",$F33="C")),$S12/'DATI (2)'!$E$13,0)</f>
        <v>0</v>
      </c>
      <c r="BH33" s="244">
        <f>IF(AND((OR($F33="B",$F33="C")),$S12&gt;0),$Z33*$BU33,0)</f>
        <v>0</v>
      </c>
      <c r="BJ33" s="242">
        <f>IF(AND($F33="A",$F12&gt;0),$R12/'DATI (2)'!$E$13,0)</f>
        <v>0</v>
      </c>
      <c r="BK33" s="244">
        <f>IF(AND($F33="a",$F12&gt;0),$Z33,0)</f>
        <v>0</v>
      </c>
      <c r="BL33" s="242">
        <f>IF(AND($F33="A",$F12=0),$R12/'DATI (2)'!$E$13,0)</f>
        <v>0</v>
      </c>
      <c r="BM33" s="244">
        <f>IF(AND($F33="a",$F12=0,R12&gt;0),$Z33*$BT33,0)</f>
        <v>0</v>
      </c>
      <c r="BN33" s="242">
        <f>IF(AND($F33="A"),$S12/'DATI (2)'!$E$13,0)</f>
        <v>0</v>
      </c>
      <c r="BO33" s="244">
        <f>IF(AND($F33="a",$S12&gt;0),$Z33*$BU33,0)</f>
        <v>0</v>
      </c>
      <c r="BQ33" s="245">
        <f>Q12</f>
        <v>0</v>
      </c>
      <c r="BR33" s="245">
        <f>R12/'DATI (2)'!$E$13</f>
        <v>0</v>
      </c>
      <c r="BS33" s="245">
        <f>S12/'DATI (2)'!$E$14</f>
        <v>0</v>
      </c>
      <c r="BT33" s="245" t="e">
        <f>BR33/BQ33</f>
        <v>#DIV/0!</v>
      </c>
      <c r="BU33" s="245" t="e">
        <f>BS33/BQ33</f>
        <v>#DIV/0!</v>
      </c>
      <c r="BW33" s="68">
        <f>IF(F33="E",$Q$41*G33/$AI$41,0)</f>
        <v>0</v>
      </c>
    </row>
    <row r="34" spans="4:75" ht="19.5" customHeight="1">
      <c r="D34" s="246">
        <f>D13</f>
        <v>0</v>
      </c>
      <c r="E34" s="247">
        <f>F13</f>
        <v>0</v>
      </c>
      <c r="F34" s="248">
        <f>N13</f>
        <v>0</v>
      </c>
      <c r="G34" s="249">
        <f>Q13</f>
        <v>0</v>
      </c>
      <c r="H34" s="250">
        <f>AC13</f>
        <v>0</v>
      </c>
      <c r="I34" s="250"/>
      <c r="J34" s="250"/>
      <c r="K34" s="251">
        <f>(H34)*0.1</f>
        <v>0</v>
      </c>
      <c r="L34" s="251"/>
      <c r="M34" s="252">
        <f>IF($C$5="s",IF(SUM($H$41)&lt;=1000000,SUM(H34)*0.02,SUM(H34)*0.01),0)</f>
        <v>0</v>
      </c>
      <c r="N34" s="252"/>
      <c r="O34" s="253">
        <f>(M34*(0.04))</f>
        <v>0</v>
      </c>
      <c r="P34" s="254">
        <f>(M34+O34)*0.22</f>
        <v>0</v>
      </c>
      <c r="Q34" s="255">
        <f>IF(F34="E",G34*12,0)</f>
        <v>0</v>
      </c>
      <c r="R34" s="256">
        <f>BW34*0.22</f>
        <v>0</v>
      </c>
      <c r="S34" s="257"/>
      <c r="T34" s="258"/>
      <c r="U34" s="259">
        <f>(S34+T34)*0.22</f>
        <v>0</v>
      </c>
      <c r="V34" s="255">
        <f>H34*0.15</f>
        <v>0</v>
      </c>
      <c r="W34" s="253">
        <f>V34*0.04</f>
        <v>0</v>
      </c>
      <c r="X34" s="260">
        <f>0.22*(W34+V34)</f>
        <v>0</v>
      </c>
      <c r="Y34" s="261">
        <f>SUM(K34:X34)-Q34+BW34</f>
        <v>0</v>
      </c>
      <c r="Z34" s="262">
        <f>Y34+H34</f>
        <v>0</v>
      </c>
      <c r="AA34" s="262"/>
      <c r="AB34" s="240"/>
      <c r="AC34" s="240"/>
      <c r="AF34" s="151"/>
      <c r="AG34" s="151"/>
      <c r="AH34" s="241">
        <f>IF($N13="E",$T13,0)</f>
        <v>0</v>
      </c>
      <c r="AI34" s="241">
        <f>IF(OR($F34="E",$F34="E"),$G34,0)</f>
        <v>0</v>
      </c>
      <c r="AJ34" s="241">
        <f>IF(OR($F34="B",$F34="C"),$G34,0)</f>
        <v>0</v>
      </c>
      <c r="AK34" s="241">
        <f>IF($F34="A",$G34,0)</f>
        <v>0</v>
      </c>
      <c r="AL34" s="241">
        <f>IF($N13="A",$F13,0)</f>
        <v>0</v>
      </c>
      <c r="AM34" s="241">
        <f>IF(AND($F34="A",$F13&gt;0),$G34,0)</f>
        <v>0</v>
      </c>
      <c r="AN34" s="241">
        <f>IF($F13&gt;0,$G34,0)</f>
        <v>0</v>
      </c>
      <c r="AQ34" s="242">
        <f>IF($N13="E",$R13/'DATI (2)'!$E$13,0)</f>
        <v>0</v>
      </c>
      <c r="AR34" s="242">
        <f>IF($N13="E",$S13/'DATI (2)'!$E$14,0)</f>
        <v>0</v>
      </c>
      <c r="AS34" s="243">
        <f>($R13)/'DATI (2)'!$E$13</f>
        <v>0</v>
      </c>
      <c r="AT34" s="243">
        <f>$S13/'DATI (2)'!$E$14</f>
        <v>0</v>
      </c>
      <c r="AV34" s="242">
        <f>IF(AND($F34="E",$F13&gt;0),$R13/'DATI (2)'!$E$13,0)</f>
        <v>0</v>
      </c>
      <c r="AW34" s="244">
        <f>IF(AND($F34="E",$F13&gt;0),$Z34,0)</f>
        <v>0</v>
      </c>
      <c r="AX34" s="242">
        <f>IF(AND($F34="E",$F13=0),$R13/'DATI (2)'!$E$13,0)</f>
        <v>0</v>
      </c>
      <c r="AY34" s="244">
        <f>IF(AND($F34="E",$F13=0,R13&gt;0),$Z34*$BT34,0)</f>
        <v>0</v>
      </c>
      <c r="AZ34" s="242">
        <f>IF(AND($F34="E"),$S13/'DATI (2)'!$E$13,0)</f>
        <v>0</v>
      </c>
      <c r="BA34" s="244">
        <f>IF(AND($F34="E",$S13&gt;0),$Z34*$BU34,0)</f>
        <v>0</v>
      </c>
      <c r="BC34" s="242">
        <f>IF(AND(OR($F34="B",$F34="C"),$F13&gt;0),$R13/'DATI (2)'!$E$13,0)</f>
        <v>0</v>
      </c>
      <c r="BD34" s="244">
        <f>IF(AND(AND(OR($F34="B",$F34="C")),$F13&gt;0),$Z34,0)</f>
        <v>0</v>
      </c>
      <c r="BE34" s="242">
        <f>IF(AND(OR($F34="B",$F34="C"),$F13=0),$R13/'DATI (2)'!$E$13,0)</f>
        <v>0</v>
      </c>
      <c r="BF34" s="244">
        <f>IF(AND((OR($F34="B",$F34="C")),$F13=0,R13&gt;0),$Z34*$BT34,0)</f>
        <v>0</v>
      </c>
      <c r="BG34" s="242">
        <f>IF(AND(OR($F34="B",$F34="C")),$S13/'DATI (2)'!$E$13,0)</f>
        <v>0</v>
      </c>
      <c r="BH34" s="244">
        <f>IF(AND((OR($F34="B",$F34="C")),$S13&gt;0),$Z34*$BU34,0)</f>
        <v>0</v>
      </c>
      <c r="BJ34" s="242">
        <f>IF(AND($F34="A",$F13&gt;0),$R13/'DATI (2)'!$E$13,0)</f>
        <v>0</v>
      </c>
      <c r="BK34" s="244">
        <f>IF(AND($F34="a",$F13&gt;0),$Z34,0)</f>
        <v>0</v>
      </c>
      <c r="BL34" s="242">
        <f>IF(AND($F34="A",$F13=0),$R13/'DATI (2)'!$E$13,0)</f>
        <v>0</v>
      </c>
      <c r="BM34" s="244">
        <f>IF(AND($F34="a",$F13=0,R13&gt;0),$Z34*$BT34,0)</f>
        <v>0</v>
      </c>
      <c r="BN34" s="242">
        <f>IF(AND($F34="A"),$S13/'DATI (2)'!$E$13,0)</f>
        <v>0</v>
      </c>
      <c r="BO34" s="244">
        <f>IF(AND($F34="a",$S13&gt;0),$Z34*$BU34,0)</f>
        <v>0</v>
      </c>
      <c r="BQ34" s="245">
        <f>Q13</f>
        <v>0</v>
      </c>
      <c r="BR34" s="245">
        <f>R13/'DATI (2)'!$E$13</f>
        <v>0</v>
      </c>
      <c r="BS34" s="245">
        <f>S13/'DATI (2)'!$E$14</f>
        <v>0</v>
      </c>
      <c r="BT34" s="245" t="e">
        <f>BR34/BQ34</f>
        <v>#DIV/0!</v>
      </c>
      <c r="BU34" s="245" t="e">
        <f>BS34/BQ34</f>
        <v>#DIV/0!</v>
      </c>
      <c r="BW34" s="68">
        <f>IF(F34="E",$Q$41*G34/$AI$41,0)</f>
        <v>0</v>
      </c>
    </row>
    <row r="35" spans="4:75" ht="19.5" customHeight="1">
      <c r="D35" s="246">
        <f>D14</f>
        <v>0</v>
      </c>
      <c r="E35" s="247">
        <f>F14</f>
        <v>0</v>
      </c>
      <c r="F35" s="248">
        <f>N14</f>
        <v>0</v>
      </c>
      <c r="G35" s="249">
        <f>Q14</f>
        <v>0</v>
      </c>
      <c r="H35" s="250">
        <f>AC14</f>
        <v>0</v>
      </c>
      <c r="I35" s="250"/>
      <c r="J35" s="250"/>
      <c r="K35" s="251">
        <f>(H35)*0.1</f>
        <v>0</v>
      </c>
      <c r="L35" s="251"/>
      <c r="M35" s="252">
        <f>IF($C$5="s",IF(SUM($H$41)&lt;=1000000,SUM(H35)*0.02,SUM(H35)*0.01),0)</f>
        <v>0</v>
      </c>
      <c r="N35" s="252"/>
      <c r="O35" s="253">
        <f>(M35*(0.04))</f>
        <v>0</v>
      </c>
      <c r="P35" s="254">
        <f>(M35+O35)*0.22</f>
        <v>0</v>
      </c>
      <c r="Q35" s="255">
        <f>IF(F35="E",G35*12,0)</f>
        <v>0</v>
      </c>
      <c r="R35" s="256">
        <f>BW35*0.22</f>
        <v>0</v>
      </c>
      <c r="S35" s="257"/>
      <c r="T35" s="258"/>
      <c r="U35" s="259">
        <f>(S35+T35)*0.22</f>
        <v>0</v>
      </c>
      <c r="V35" s="255">
        <f>H35*0.15</f>
        <v>0</v>
      </c>
      <c r="W35" s="253">
        <f>V35*0.04</f>
        <v>0</v>
      </c>
      <c r="X35" s="260">
        <f>0.22*(W35+V35)</f>
        <v>0</v>
      </c>
      <c r="Y35" s="261">
        <f>SUM(K35:X35)-Q35+BW35</f>
        <v>0</v>
      </c>
      <c r="Z35" s="262">
        <f>Y35+H35</f>
        <v>0</v>
      </c>
      <c r="AA35" s="262"/>
      <c r="AB35" s="240"/>
      <c r="AC35" s="240"/>
      <c r="AF35" s="151"/>
      <c r="AG35" s="151"/>
      <c r="AH35" s="241">
        <f>IF($N14="E",$T14,0)</f>
        <v>0</v>
      </c>
      <c r="AI35" s="241">
        <f>IF(OR($F35="E",$F35="E"),$G35,0)</f>
        <v>0</v>
      </c>
      <c r="AJ35" s="241">
        <f>IF(OR($F35="B",$F35="C"),$G35,0)</f>
        <v>0</v>
      </c>
      <c r="AK35" s="241">
        <f>IF($F35="A",$G35,0)</f>
        <v>0</v>
      </c>
      <c r="AL35" s="241">
        <f>IF($N14="A",$F14,0)</f>
        <v>0</v>
      </c>
      <c r="AM35" s="241">
        <f>IF(AND($F35="A",$F14&gt;0),$G35,0)</f>
        <v>0</v>
      </c>
      <c r="AN35" s="241">
        <f>IF($F14&gt;0,$G35,0)</f>
        <v>0</v>
      </c>
      <c r="AQ35" s="242">
        <f>IF($N14="E",$R14/'DATI (2)'!$E$13,0)</f>
        <v>0</v>
      </c>
      <c r="AR35" s="242">
        <f>IF($N14="E",$S14/'DATI (2)'!$E$14,0)</f>
        <v>0</v>
      </c>
      <c r="AS35" s="243">
        <f>($R14)/'DATI (2)'!$E$13</f>
        <v>0</v>
      </c>
      <c r="AT35" s="243">
        <f>$S14/'DATI (2)'!$E$14</f>
        <v>0</v>
      </c>
      <c r="AV35" s="242">
        <f>IF(AND($F35="E",$F14&gt;0),$R14/'DATI (2)'!$E$13,0)</f>
        <v>0</v>
      </c>
      <c r="AW35" s="244">
        <f>IF(AND($F35="E",$F14&gt;0),$Z35,0)</f>
        <v>0</v>
      </c>
      <c r="AX35" s="242">
        <f>IF(AND($F35="E",$F14=0),$R14/'DATI (2)'!$E$13,0)</f>
        <v>0</v>
      </c>
      <c r="AY35" s="244">
        <f>IF(AND($F35="E",$F14=0,R14&gt;0),$Z35*$BT35,0)</f>
        <v>0</v>
      </c>
      <c r="AZ35" s="242">
        <f>IF(AND($F35="E"),$S14/'DATI (2)'!$E$13,0)</f>
        <v>0</v>
      </c>
      <c r="BA35" s="244">
        <f>IF(AND($F35="E",$S14&gt;0),$Z35*$BU35,0)</f>
        <v>0</v>
      </c>
      <c r="BC35" s="242">
        <f>IF(AND(OR($F35="B",$F35="C"),$F14&gt;0),$R14/'DATI (2)'!$E$13,0)</f>
        <v>0</v>
      </c>
      <c r="BD35" s="244">
        <f>IF(AND(AND(OR($F35="B",$F35="C")),$F14&gt;0),$Z35,0)</f>
        <v>0</v>
      </c>
      <c r="BE35" s="242">
        <f>IF(AND(OR($F35="B",$F35="C"),$F14=0),$R14/'DATI (2)'!$E$13,0)</f>
        <v>0</v>
      </c>
      <c r="BF35" s="244">
        <f>IF(AND((OR($F35="B",$F35="C")),$F14=0,R14&gt;0),$Z35*$BT35,0)</f>
        <v>0</v>
      </c>
      <c r="BG35" s="242">
        <f>IF(AND(OR($F35="B",$F35="C")),$S14/'DATI (2)'!$E$13,0)</f>
        <v>0</v>
      </c>
      <c r="BH35" s="244">
        <f>IF(AND((OR($F35="B",$F35="C")),$S14&gt;0),$Z35*$BU35,0)</f>
        <v>0</v>
      </c>
      <c r="BJ35" s="242">
        <f>IF(AND($F35="A",$F14&gt;0),$R14/'DATI (2)'!$E$13,0)</f>
        <v>0</v>
      </c>
      <c r="BK35" s="244">
        <f>IF(AND($F35="a",$F14&gt;0),$Z35,0)</f>
        <v>0</v>
      </c>
      <c r="BL35" s="242">
        <f>IF(AND($F35="A",$F14=0),$R14/'DATI (2)'!$E$13,0)</f>
        <v>0</v>
      </c>
      <c r="BM35" s="244">
        <f>IF(AND($F35="a",$F14=0,R14&gt;0),$Z35*$BT35,0)</f>
        <v>0</v>
      </c>
      <c r="BN35" s="242">
        <f>IF(AND($F35="A"),$S14/'DATI (2)'!$E$13,0)</f>
        <v>0</v>
      </c>
      <c r="BO35" s="244">
        <f>IF(AND($F35="a",$S14&gt;0),$Z35*$BU35,0)</f>
        <v>0</v>
      </c>
      <c r="BQ35" s="245">
        <f>Q14</f>
        <v>0</v>
      </c>
      <c r="BR35" s="245">
        <f>R14/'DATI (2)'!$E$13</f>
        <v>0</v>
      </c>
      <c r="BS35" s="245">
        <f>S14/'DATI (2)'!$E$14</f>
        <v>0</v>
      </c>
      <c r="BT35" s="245" t="e">
        <f>BR35/BQ35</f>
        <v>#DIV/0!</v>
      </c>
      <c r="BU35" s="245" t="e">
        <f>BS35/BQ35</f>
        <v>#DIV/0!</v>
      </c>
      <c r="BW35" s="68">
        <f>IF(F35="E",$Q$41*G35/$AI$41,0)</f>
        <v>0</v>
      </c>
    </row>
    <row r="36" spans="4:75" ht="19.5" customHeight="1">
      <c r="D36" s="246">
        <f>D15</f>
        <v>0</v>
      </c>
      <c r="E36" s="247">
        <f>F15</f>
        <v>0</v>
      </c>
      <c r="F36" s="248">
        <f>N15</f>
        <v>0</v>
      </c>
      <c r="G36" s="249">
        <f>Q15</f>
        <v>0</v>
      </c>
      <c r="H36" s="250">
        <f>AC15</f>
        <v>0</v>
      </c>
      <c r="I36" s="250"/>
      <c r="J36" s="250"/>
      <c r="K36" s="251">
        <f>(H36)*0.1</f>
        <v>0</v>
      </c>
      <c r="L36" s="251"/>
      <c r="M36" s="252">
        <f>IF($C$5="s",IF(SUM($H$41)&lt;=1000000,SUM(H36)*0.02,SUM(H36)*0.01),0)</f>
        <v>0</v>
      </c>
      <c r="N36" s="252"/>
      <c r="O36" s="253">
        <f>(M36*(0.04))</f>
        <v>0</v>
      </c>
      <c r="P36" s="254">
        <f>(M36+O36)*0.22</f>
        <v>0</v>
      </c>
      <c r="Q36" s="255">
        <f>IF(F36="E",G36*12,0)</f>
        <v>0</v>
      </c>
      <c r="R36" s="256">
        <f>BW36*0.22</f>
        <v>0</v>
      </c>
      <c r="S36" s="257"/>
      <c r="T36" s="258"/>
      <c r="U36" s="259">
        <f>(S36+T36)*0.22</f>
        <v>0</v>
      </c>
      <c r="V36" s="255">
        <f>H36*0.15</f>
        <v>0</v>
      </c>
      <c r="W36" s="253">
        <f>V36*0.04</f>
        <v>0</v>
      </c>
      <c r="X36" s="260">
        <f>0.22*(W36+V36)</f>
        <v>0</v>
      </c>
      <c r="Y36" s="261">
        <f>SUM(K36:X36)-Q36+BW36</f>
        <v>0</v>
      </c>
      <c r="Z36" s="262">
        <f>Y36+H36</f>
        <v>0</v>
      </c>
      <c r="AA36" s="262"/>
      <c r="AB36" s="240"/>
      <c r="AC36" s="240"/>
      <c r="AF36" s="151"/>
      <c r="AG36" s="151"/>
      <c r="AH36" s="241">
        <f>IF($N15="E",$T15,0)</f>
        <v>0</v>
      </c>
      <c r="AI36" s="241">
        <f>IF(OR($F36="E",$F36="E"),$G36,0)</f>
        <v>0</v>
      </c>
      <c r="AJ36" s="241">
        <f>IF(OR($F36="B",$F36="C"),$G36,0)</f>
        <v>0</v>
      </c>
      <c r="AK36" s="241">
        <f>IF($F36="A",$G36,0)</f>
        <v>0</v>
      </c>
      <c r="AL36" s="241">
        <f>IF($N15="A",$F15,0)</f>
        <v>0</v>
      </c>
      <c r="AM36" s="241">
        <f>IF(AND($F36="A",$F15&gt;0),$G36,0)</f>
        <v>0</v>
      </c>
      <c r="AN36" s="241">
        <f>IF($F15&gt;0,$G36,0)</f>
        <v>0</v>
      </c>
      <c r="AQ36" s="242">
        <f>IF($N15="E",$R15/'DATI (2)'!$E$13,0)</f>
        <v>0</v>
      </c>
      <c r="AR36" s="242">
        <f>IF($N15="E",$S15/'DATI (2)'!$E$14,0)</f>
        <v>0</v>
      </c>
      <c r="AS36" s="243">
        <f>($R15)/'DATI (2)'!$E$13</f>
        <v>0</v>
      </c>
      <c r="AT36" s="243">
        <f>$S15/'DATI (2)'!$E$14</f>
        <v>0</v>
      </c>
      <c r="AV36" s="242">
        <f>IF(AND($F36="E",$F15&gt;0),$R15/'DATI (2)'!$E$13,0)</f>
        <v>0</v>
      </c>
      <c r="AW36" s="244">
        <f>IF(AND($F36="E",$F15&gt;0),$Z36,0)</f>
        <v>0</v>
      </c>
      <c r="AX36" s="242">
        <f>IF(AND($F36="E",$F15=0),$R15/'DATI (2)'!$E$13,0)</f>
        <v>0</v>
      </c>
      <c r="AY36" s="244">
        <f>IF(AND($F36="E",$F15=0,R15&gt;0),$Z36*$BT36,0)</f>
        <v>0</v>
      </c>
      <c r="AZ36" s="242">
        <f>IF(AND($F36="E"),$S15/'DATI (2)'!$E$13,0)</f>
        <v>0</v>
      </c>
      <c r="BA36" s="244">
        <f>IF(AND($F36="E",$S15&gt;0),$Z36*$BU36,0)</f>
        <v>0</v>
      </c>
      <c r="BC36" s="242">
        <f>IF(AND(OR($F36="B",$F36="C"),$F15&gt;0),$R15/'DATI (2)'!$E$13,0)</f>
        <v>0</v>
      </c>
      <c r="BD36" s="244">
        <f>IF(AND(AND(OR($F36="B",$F36="C")),$F15&gt;0),$Z36,0)</f>
        <v>0</v>
      </c>
      <c r="BE36" s="242">
        <f>IF(AND(OR($F36="B",$F36="C"),$F15=0),$R15/'DATI (2)'!$E$13,0)</f>
        <v>0</v>
      </c>
      <c r="BF36" s="244">
        <f>IF(AND((OR($F36="B",$F36="C")),$F15=0,R15&gt;0),$Z36*$BT36,0)</f>
        <v>0</v>
      </c>
      <c r="BG36" s="242">
        <f>IF(AND(OR($F36="B",$F36="C")),$S15/'DATI (2)'!$E$13,0)</f>
        <v>0</v>
      </c>
      <c r="BH36" s="244">
        <f>IF(AND((OR($F36="B",$F36="C")),$S15&gt;0),$Z36*$BU36,0)</f>
        <v>0</v>
      </c>
      <c r="BJ36" s="242">
        <f>IF(AND($F36="A",$F15&gt;0),$R15/'DATI (2)'!$E$13,0)</f>
        <v>0</v>
      </c>
      <c r="BK36" s="244">
        <f>IF(AND($F36="a",$F15&gt;0),$Z36,0)</f>
        <v>0</v>
      </c>
      <c r="BL36" s="242">
        <f>IF(AND($F36="A",$F15=0),$R15/'DATI (2)'!$E$13,0)</f>
        <v>0</v>
      </c>
      <c r="BM36" s="244">
        <f>IF(AND($F36="a",$F15=0,R15&gt;0),$Z36*$BT36,0)</f>
        <v>0</v>
      </c>
      <c r="BN36" s="242">
        <f>IF(AND($F36="A"),$S15/'DATI (2)'!$E$13,0)</f>
        <v>0</v>
      </c>
      <c r="BO36" s="244">
        <f>IF(AND($F36="a",$S15&gt;0),$Z36*$BU36,0)</f>
        <v>0</v>
      </c>
      <c r="BQ36" s="245">
        <f>Q15</f>
        <v>0</v>
      </c>
      <c r="BR36" s="245">
        <f>R15/'DATI (2)'!$E$13</f>
        <v>0</v>
      </c>
      <c r="BS36" s="245">
        <f>S15/'DATI (2)'!$E$14</f>
        <v>0</v>
      </c>
      <c r="BT36" s="245" t="e">
        <f>BR36/BQ36</f>
        <v>#DIV/0!</v>
      </c>
      <c r="BU36" s="245" t="e">
        <f>BS36/BQ36</f>
        <v>#DIV/0!</v>
      </c>
      <c r="BW36" s="68">
        <f>IF(F36="E",$Q$41*G36/$AI$41,0)</f>
        <v>0</v>
      </c>
    </row>
    <row r="37" spans="4:75" ht="19.5" customHeight="1">
      <c r="D37" s="246">
        <f>D16</f>
        <v>0</v>
      </c>
      <c r="E37" s="247">
        <f>F16</f>
        <v>0</v>
      </c>
      <c r="F37" s="248">
        <f>N16</f>
        <v>0</v>
      </c>
      <c r="G37" s="249">
        <f>Q16</f>
        <v>0</v>
      </c>
      <c r="H37" s="250">
        <f>AC16</f>
        <v>0</v>
      </c>
      <c r="I37" s="250"/>
      <c r="J37" s="250"/>
      <c r="K37" s="251">
        <f>(H37)*0.1</f>
        <v>0</v>
      </c>
      <c r="L37" s="251"/>
      <c r="M37" s="252">
        <f>IF($C$5="s",IF(SUM($H$41)&lt;=1000000,SUM(H37)*0.02,SUM(H37)*0.01),0)</f>
        <v>0</v>
      </c>
      <c r="N37" s="252"/>
      <c r="O37" s="253">
        <f>(M37*(0.04))</f>
        <v>0</v>
      </c>
      <c r="P37" s="254">
        <f>(M37+O37)*0.22</f>
        <v>0</v>
      </c>
      <c r="Q37" s="255">
        <f>IF(F37="E",G37*12,0)</f>
        <v>0</v>
      </c>
      <c r="R37" s="256">
        <f>BW37*0.22</f>
        <v>0</v>
      </c>
      <c r="S37" s="257">
        <f>IF(F37="E",H37*1.5%,0)</f>
        <v>0</v>
      </c>
      <c r="T37" s="258">
        <f>S37*0.02</f>
        <v>0</v>
      </c>
      <c r="U37" s="259">
        <f>(S37+T37)*0.22</f>
        <v>0</v>
      </c>
      <c r="V37" s="255">
        <f>H37*0.15</f>
        <v>0</v>
      </c>
      <c r="W37" s="253">
        <f>V37*0.04</f>
        <v>0</v>
      </c>
      <c r="X37" s="260">
        <f>0.22*(W37+V37)</f>
        <v>0</v>
      </c>
      <c r="Y37" s="261">
        <f>SUM(K37:X37)-Q37+BW37</f>
        <v>0</v>
      </c>
      <c r="Z37" s="262">
        <f>Y37+H37</f>
        <v>0</v>
      </c>
      <c r="AA37" s="262"/>
      <c r="AB37" s="240"/>
      <c r="AC37" s="240"/>
      <c r="AF37" s="151"/>
      <c r="AG37" s="151"/>
      <c r="AH37" s="241">
        <f>IF($N16="E",$T16,0)</f>
        <v>0</v>
      </c>
      <c r="AI37" s="241">
        <f>IF(OR($F37="E",$F37="E"),$G37,0)</f>
        <v>0</v>
      </c>
      <c r="AJ37" s="241">
        <f>IF(OR($F37="B",$F37="C"),$G37,0)</f>
        <v>0</v>
      </c>
      <c r="AK37" s="241">
        <f>IF($F37="A",$G37,0)</f>
        <v>0</v>
      </c>
      <c r="AL37" s="241">
        <f>IF($N16="A",$F16,0)</f>
        <v>0</v>
      </c>
      <c r="AM37" s="241">
        <f>IF(AND($F37="A",$F16&gt;0),$G37,0)</f>
        <v>0</v>
      </c>
      <c r="AN37" s="241">
        <f>IF($F16&gt;0,$G37,0)</f>
        <v>0</v>
      </c>
      <c r="AQ37" s="242">
        <f>IF($N16="E",$R16/'DATI (2)'!$E$13,0)</f>
        <v>0</v>
      </c>
      <c r="AR37" s="242">
        <f>IF($N16="E",$S16/'DATI (2)'!$E$14,0)</f>
        <v>0</v>
      </c>
      <c r="AS37" s="243">
        <f>($R16)/'DATI (2)'!$E$13</f>
        <v>0</v>
      </c>
      <c r="AT37" s="243">
        <f>$S16/'DATI (2)'!$E$14</f>
        <v>0</v>
      </c>
      <c r="AV37" s="242">
        <f>IF(AND($F37="E",$F16&gt;0),$R16/'DATI (2)'!$E$13,0)</f>
        <v>0</v>
      </c>
      <c r="AW37" s="244">
        <f>IF(AND($F37="E",$F16&gt;0),$Z37,0)</f>
        <v>0</v>
      </c>
      <c r="AX37" s="242">
        <f>IF(AND($F37="E",$F16=0),$R16/'DATI (2)'!$E$13,0)</f>
        <v>0</v>
      </c>
      <c r="AY37" s="244">
        <f>IF(AND($F37="E",$F16=0,R16&gt;0),$Z37*$BT37,0)</f>
        <v>0</v>
      </c>
      <c r="AZ37" s="242">
        <f>IF(AND($F37="E"),$S16/'DATI (2)'!$E$13,0)</f>
        <v>0</v>
      </c>
      <c r="BA37" s="244">
        <f>IF(AND($F37="E",$S16&gt;0),$Z37*$BU37,0)</f>
        <v>0</v>
      </c>
      <c r="BC37" s="242">
        <f>IF(AND(OR($F37="B",$F37="C"),$F16&gt;0),$R16/'DATI (2)'!$E$13,0)</f>
        <v>0</v>
      </c>
      <c r="BD37" s="244">
        <f>IF(AND(AND(OR($F37="B",$F37="C")),$F16&gt;0),$Z37,0)</f>
        <v>0</v>
      </c>
      <c r="BE37" s="242">
        <f>IF(AND(OR($F37="B",$F37="C"),$F16=0),$R16/'DATI (2)'!$E$13,0)</f>
        <v>0</v>
      </c>
      <c r="BF37" s="244">
        <f>IF(AND((OR($F37="B",$F37="C")),$F16=0,R16&gt;0),$Z37*$BT37,0)</f>
        <v>0</v>
      </c>
      <c r="BG37" s="242">
        <f>IF(AND(OR($F37="B",$F37="C")),$S16/'DATI (2)'!$E$13,0)</f>
        <v>0</v>
      </c>
      <c r="BH37" s="244">
        <f>IF(AND((OR($F37="B",$F37="C")),$S16&gt;0),$Z37*$BU37,0)</f>
        <v>0</v>
      </c>
      <c r="BJ37" s="242">
        <f>IF(AND($F37="A",$F16&gt;0),$R16/'DATI (2)'!$E$13,0)</f>
        <v>0</v>
      </c>
      <c r="BK37" s="244">
        <f>IF(AND($F37="a",$F16&gt;0),$Z37,0)</f>
        <v>0</v>
      </c>
      <c r="BL37" s="242">
        <f>IF(AND($F37="A",$F16=0),$R16/'DATI (2)'!$E$13,0)</f>
        <v>0</v>
      </c>
      <c r="BM37" s="244">
        <f>IF(AND($F37="a",$F16=0,R16&gt;0),$Z37*$BT37,0)</f>
        <v>0</v>
      </c>
      <c r="BN37" s="242">
        <f>IF(AND($F37="A"),$S16/'DATI (2)'!$E$13,0)</f>
        <v>0</v>
      </c>
      <c r="BO37" s="244">
        <f>IF(AND($F37="a",$S16&gt;0),$Z37*$BU37,0)</f>
        <v>0</v>
      </c>
      <c r="BQ37" s="245">
        <f>Q16</f>
        <v>0</v>
      </c>
      <c r="BR37" s="245">
        <f>R16/'DATI (2)'!$E$13</f>
        <v>0</v>
      </c>
      <c r="BS37" s="245">
        <f>S16/'DATI (2)'!$E$14</f>
        <v>0</v>
      </c>
      <c r="BT37" s="245" t="e">
        <f>BR37/BQ37</f>
        <v>#DIV/0!</v>
      </c>
      <c r="BU37" s="245" t="e">
        <f>BS37/BQ37</f>
        <v>#DIV/0!</v>
      </c>
      <c r="BW37" s="68">
        <f>IF(F37="E",$Q$41*G37/$AI$41,0)</f>
        <v>0</v>
      </c>
    </row>
    <row r="38" spans="4:75" ht="19.5" customHeight="1">
      <c r="D38" s="246">
        <f>D17</f>
        <v>0</v>
      </c>
      <c r="E38" s="247">
        <f>F17</f>
        <v>0</v>
      </c>
      <c r="F38" s="248">
        <f>N17</f>
        <v>0</v>
      </c>
      <c r="G38" s="249">
        <f>Q17</f>
        <v>0</v>
      </c>
      <c r="H38" s="250">
        <f>AC17</f>
        <v>0</v>
      </c>
      <c r="I38" s="250"/>
      <c r="J38" s="250"/>
      <c r="K38" s="251">
        <f>(H38)*0.1</f>
        <v>0</v>
      </c>
      <c r="L38" s="251"/>
      <c r="M38" s="252">
        <f>IF($C$5="s",IF(SUM($H$41)&lt;=1000000,SUM(H38)*0.02,SUM(H38)*0.01),0)</f>
        <v>0</v>
      </c>
      <c r="N38" s="252"/>
      <c r="O38" s="253">
        <f>(M38*(0.04))</f>
        <v>0</v>
      </c>
      <c r="P38" s="254">
        <f>(M38+O38)*0.22</f>
        <v>0</v>
      </c>
      <c r="Q38" s="255">
        <f>IF(F38="E",G38*12,0)</f>
        <v>0</v>
      </c>
      <c r="R38" s="256">
        <f>BW38*0.22</f>
        <v>0</v>
      </c>
      <c r="S38" s="257"/>
      <c r="T38" s="258"/>
      <c r="U38" s="259">
        <f>(S38+T38)*0.22</f>
        <v>0</v>
      </c>
      <c r="V38" s="255">
        <f>H38*0.15</f>
        <v>0</v>
      </c>
      <c r="W38" s="253">
        <f>V38*0.04</f>
        <v>0</v>
      </c>
      <c r="X38" s="260">
        <f>0.22*(W38+V38)</f>
        <v>0</v>
      </c>
      <c r="Y38" s="261">
        <f>SUM(K38:X38)-Q38+BW38</f>
        <v>0</v>
      </c>
      <c r="Z38" s="262">
        <f>Y38+H38</f>
        <v>0</v>
      </c>
      <c r="AA38" s="262"/>
      <c r="AB38" s="240"/>
      <c r="AC38" s="240"/>
      <c r="AF38" s="151"/>
      <c r="AG38" s="151"/>
      <c r="AH38" s="241">
        <f>IF($N17="E",$T17,0)</f>
        <v>0</v>
      </c>
      <c r="AI38" s="241">
        <f>IF(OR($F38="E",$F38="E"),$G38,0)</f>
        <v>0</v>
      </c>
      <c r="AJ38" s="241">
        <f>IF(OR($F38="B",$F38="C"),$G38,0)</f>
        <v>0</v>
      </c>
      <c r="AK38" s="241">
        <f>IF($F38="A",$G38,0)</f>
        <v>0</v>
      </c>
      <c r="AL38" s="241">
        <f>IF($N17="A",$F17,0)</f>
        <v>0</v>
      </c>
      <c r="AM38" s="241">
        <f>IF(AND($F38="A",$F17&gt;0),$G38,0)</f>
        <v>0</v>
      </c>
      <c r="AN38" s="241">
        <f>IF($F17&gt;0,$G38,0)</f>
        <v>0</v>
      </c>
      <c r="AQ38" s="242">
        <f>IF($N17="E",$R17/'DATI (2)'!$E$13,0)</f>
        <v>0</v>
      </c>
      <c r="AR38" s="242">
        <f>IF($N17="E",$S17/'DATI (2)'!$E$14,0)</f>
        <v>0</v>
      </c>
      <c r="AS38" s="243">
        <f>($R17)/'DATI (2)'!$E$13</f>
        <v>0</v>
      </c>
      <c r="AT38" s="243">
        <f>$S17/'DATI (2)'!$E$14</f>
        <v>0</v>
      </c>
      <c r="AV38" s="242">
        <f>IF(AND($F38="E",$F17&gt;0),$R17/'DATI (2)'!$E$13,0)</f>
        <v>0</v>
      </c>
      <c r="AW38" s="244">
        <f>IF(AND($F38="E",$F17&gt;0),$Z38,0)</f>
        <v>0</v>
      </c>
      <c r="AX38" s="242">
        <f>IF(AND($F38="E",$F17=0),$R17/'DATI (2)'!$E$13,0)</f>
        <v>0</v>
      </c>
      <c r="AY38" s="244">
        <f>IF(AND($F38="E",$F17=0,R17&gt;0),$Z38*$BT38,0)</f>
        <v>0</v>
      </c>
      <c r="AZ38" s="242">
        <f>IF(AND($F38="E"),$S17/'DATI (2)'!$E$13,0)</f>
        <v>0</v>
      </c>
      <c r="BA38" s="244">
        <f>IF(AND($F38="E",$S17&gt;0),$Z38*$BU38,0)</f>
        <v>0</v>
      </c>
      <c r="BC38" s="242">
        <f>IF(AND(OR($F38="B",$F38="C"),$F17&gt;0),$R17/'DATI (2)'!$E$13,0)</f>
        <v>0</v>
      </c>
      <c r="BD38" s="244">
        <f>IF(AND(AND(OR($F38="B",$F38="C")),$F17&gt;0),$Z38,0)</f>
        <v>0</v>
      </c>
      <c r="BE38" s="242">
        <f>IF(AND(OR($F38="B",$F38="C"),$F17=0),$R17/'DATI (2)'!$E$13,0)</f>
        <v>0</v>
      </c>
      <c r="BF38" s="244">
        <f>IF(AND((OR($F38="B",$F38="C")),$F17=0,R17&gt;0),$Z38*$BT38,0)</f>
        <v>0</v>
      </c>
      <c r="BG38" s="242">
        <f>IF(AND(OR($F38="B",$F38="C")),$S17/'DATI (2)'!$E$13,0)</f>
        <v>0</v>
      </c>
      <c r="BH38" s="244">
        <f>IF(AND((OR($F38="B",$F38="C")),$S17&gt;0),$Z38*$BU38,0)</f>
        <v>0</v>
      </c>
      <c r="BJ38" s="242">
        <f>IF(AND($F38="A",$F17&gt;0),$R17/'DATI (2)'!$E$13,0)</f>
        <v>0</v>
      </c>
      <c r="BK38" s="244">
        <f>IF(AND($F38="a",$F17&gt;0),$Z38,0)</f>
        <v>0</v>
      </c>
      <c r="BL38" s="242">
        <f>IF(AND($F38="A",$F17=0),$R17/'DATI (2)'!$E$13,0)</f>
        <v>0</v>
      </c>
      <c r="BM38" s="244">
        <f>IF(AND($F38="a",$F17=0,R17&gt;0),$Z38*$BT38,0)</f>
        <v>0</v>
      </c>
      <c r="BN38" s="242">
        <f>IF(AND($F38="A"),$S17/'DATI (2)'!$E$13,0)</f>
        <v>0</v>
      </c>
      <c r="BO38" s="244">
        <f>IF(AND($F38="a",$S17&gt;0),$Z38*$BU38,0)</f>
        <v>0</v>
      </c>
      <c r="BQ38" s="245">
        <f>Q17</f>
        <v>0</v>
      </c>
      <c r="BR38" s="245">
        <f>R17/'DATI (2)'!$E$13</f>
        <v>0</v>
      </c>
      <c r="BS38" s="245">
        <f>S17/'DATI (2)'!$E$14</f>
        <v>0</v>
      </c>
      <c r="BT38" s="245" t="e">
        <f>BR38/BQ38</f>
        <v>#DIV/0!</v>
      </c>
      <c r="BU38" s="245" t="e">
        <f>BS38/BQ38</f>
        <v>#DIV/0!</v>
      </c>
      <c r="BW38" s="68">
        <f>IF(F38="E",$Q$41*G38/$AI$41,0)</f>
        <v>0</v>
      </c>
    </row>
    <row r="39" spans="4:75" ht="19.5" customHeight="1">
      <c r="D39" s="246">
        <f>D18</f>
        <v>0</v>
      </c>
      <c r="E39" s="247">
        <f>F18</f>
        <v>0</v>
      </c>
      <c r="F39" s="248">
        <f>N18</f>
        <v>0</v>
      </c>
      <c r="G39" s="249">
        <f>Q18</f>
        <v>0</v>
      </c>
      <c r="H39" s="250">
        <f>AC18</f>
        <v>0</v>
      </c>
      <c r="I39" s="250"/>
      <c r="J39" s="250"/>
      <c r="K39" s="251">
        <f>(H39)*0.1</f>
        <v>0</v>
      </c>
      <c r="L39" s="251"/>
      <c r="M39" s="252">
        <f>IF($C$5="s",IF(SUM($H$41)&lt;=1000000,SUM(H39)*0.02,SUM(H39)*0.01),0)</f>
        <v>0</v>
      </c>
      <c r="N39" s="252"/>
      <c r="O39" s="253">
        <f>(M39*(0.04))</f>
        <v>0</v>
      </c>
      <c r="P39" s="254">
        <f>(M39+O39)*0.22</f>
        <v>0</v>
      </c>
      <c r="Q39" s="255">
        <f>IF(F39="E",G39*12,0)</f>
        <v>0</v>
      </c>
      <c r="R39" s="256">
        <f>BW39*0.22</f>
        <v>0</v>
      </c>
      <c r="S39" s="257">
        <f>IF(F39="E",H39*1.5%,0)</f>
        <v>0</v>
      </c>
      <c r="T39" s="258">
        <f>S39*0.02</f>
        <v>0</v>
      </c>
      <c r="U39" s="259">
        <f>(S39+T39)*0.22</f>
        <v>0</v>
      </c>
      <c r="V39" s="255">
        <f>H39*0.15</f>
        <v>0</v>
      </c>
      <c r="W39" s="253">
        <f>V39*0.04</f>
        <v>0</v>
      </c>
      <c r="X39" s="260">
        <f>0.22*(W39+V39)</f>
        <v>0</v>
      </c>
      <c r="Y39" s="261">
        <f>SUM(K39:X39)-Q39+BW39</f>
        <v>0</v>
      </c>
      <c r="Z39" s="262">
        <f>Y39+H39</f>
        <v>0</v>
      </c>
      <c r="AA39" s="262"/>
      <c r="AB39" s="240"/>
      <c r="AC39" s="240"/>
      <c r="AF39" s="151"/>
      <c r="AG39" s="151"/>
      <c r="AH39" s="241">
        <f>IF($N18="E",$T18,0)</f>
        <v>0</v>
      </c>
      <c r="AI39" s="241">
        <f>IF(OR($F39="E",$F39="E"),$G39,0)</f>
        <v>0</v>
      </c>
      <c r="AJ39" s="241">
        <f>IF(OR($F39="B",$F39="C"),$G39,0)</f>
        <v>0</v>
      </c>
      <c r="AK39" s="241">
        <f>IF($F39="A",$G39,0)</f>
        <v>0</v>
      </c>
      <c r="AL39" s="241">
        <f>IF($N18="A",$F18,0)</f>
        <v>0</v>
      </c>
      <c r="AM39" s="241">
        <f>IF(AND($F39="A",$F18&gt;0),$G39,0)</f>
        <v>0</v>
      </c>
      <c r="AN39" s="241">
        <f>IF($F18&gt;0,$G39,0)</f>
        <v>0</v>
      </c>
      <c r="AQ39" s="242">
        <f>IF($N18="E",$R18/'DATI (2)'!$E$13,0)</f>
        <v>0</v>
      </c>
      <c r="AR39" s="242">
        <f>IF($N18="E",$S18/'DATI (2)'!$E$14,0)</f>
        <v>0</v>
      </c>
      <c r="AS39" s="243">
        <f>($R18)/'DATI (2)'!$E$13</f>
        <v>0</v>
      </c>
      <c r="AT39" s="243">
        <f>$S18/'DATI (2)'!$E$14</f>
        <v>0</v>
      </c>
      <c r="AV39" s="242">
        <f>IF(AND($F39="E",$F18&gt;0),$R18/'DATI (2)'!$E$13,0)</f>
        <v>0</v>
      </c>
      <c r="AW39" s="244">
        <f>IF(AND($F39="E",$F18&gt;0),$Z39,0)</f>
        <v>0</v>
      </c>
      <c r="AX39" s="242">
        <f>IF(AND($F39="E",$F18=0),$R18/'DATI (2)'!$E$13,0)</f>
        <v>0</v>
      </c>
      <c r="AY39" s="244">
        <f>IF(AND($F39="E",$F18=0,R18&gt;0),$Z39*$BT39,0)</f>
        <v>0</v>
      </c>
      <c r="AZ39" s="242">
        <f>IF(AND($F39="E"),$S18/'DATI (2)'!$E$13,0)</f>
        <v>0</v>
      </c>
      <c r="BA39" s="244">
        <f>IF(AND($F39="E",$S18&gt;0),$Z39*$BU39,0)</f>
        <v>0</v>
      </c>
      <c r="BC39" s="242">
        <f>IF(AND(OR($F39="B",$F39="C"),$F18&gt;0),$R18/'DATI (2)'!$E$13,0)</f>
        <v>0</v>
      </c>
      <c r="BD39" s="244">
        <f>IF(AND(AND(OR($F39="B",$F39="C")),$F18&gt;0),$Z39,0)</f>
        <v>0</v>
      </c>
      <c r="BE39" s="242">
        <f>IF(AND(OR($F39="B",$F39="C"),$F18=0),$R18/'DATI (2)'!$E$13,0)</f>
        <v>0</v>
      </c>
      <c r="BF39" s="244">
        <f>IF(AND((OR($F39="B",$F39="C")),$F18=0,R18&gt;0),$Z39*$BT39,0)</f>
        <v>0</v>
      </c>
      <c r="BG39" s="242">
        <f>IF(AND(OR($F39="B",$F39="C")),$S18/'DATI (2)'!$E$13,0)</f>
        <v>0</v>
      </c>
      <c r="BH39" s="244">
        <f>IF(AND((OR($F39="B",$F39="C")),$S18&gt;0),$Z39*$BU39,0)</f>
        <v>0</v>
      </c>
      <c r="BJ39" s="242">
        <f>IF(AND($F39="A",$F18&gt;0),$R18/'DATI (2)'!$E$13,0)</f>
        <v>0</v>
      </c>
      <c r="BK39" s="244">
        <f>IF(AND($F39="a",$F18&gt;0),$Z39,0)</f>
        <v>0</v>
      </c>
      <c r="BL39" s="242">
        <f>IF(AND($F39="A",$F18=0),$R18/'DATI (2)'!$E$13,0)</f>
        <v>0</v>
      </c>
      <c r="BM39" s="244">
        <f>IF(AND($F39="a",$F18=0,R18&gt;0),$Z39*$BT39,0)</f>
        <v>0</v>
      </c>
      <c r="BN39" s="242">
        <f>IF(AND($F39="A"),$S18/'DATI (2)'!$E$13,0)</f>
        <v>0</v>
      </c>
      <c r="BO39" s="244">
        <f>IF(AND($F39="a",$S18&gt;0),$Z39*$BU39,0)</f>
        <v>0</v>
      </c>
      <c r="BQ39" s="245">
        <f>Q18</f>
        <v>0</v>
      </c>
      <c r="BR39" s="245">
        <f>R18/'DATI (2)'!$E$13</f>
        <v>0</v>
      </c>
      <c r="BS39" s="245">
        <f>S18/'DATI (2)'!$E$14</f>
        <v>0</v>
      </c>
      <c r="BT39" s="245" t="e">
        <f>BR39/BQ39</f>
        <v>#DIV/0!</v>
      </c>
      <c r="BU39" s="245" t="e">
        <f>BS39/BQ39</f>
        <v>#DIV/0!</v>
      </c>
      <c r="BW39" s="68">
        <f>IF(F39="E",$Q$41*G39/$AI$41,0)</f>
        <v>0</v>
      </c>
    </row>
    <row r="40" spans="4:75" ht="19.5" customHeight="1">
      <c r="D40" s="265"/>
      <c r="E40" s="266"/>
      <c r="F40" s="267"/>
      <c r="G40" s="268"/>
      <c r="H40" s="269">
        <f>AC19</f>
        <v>0</v>
      </c>
      <c r="I40" s="269"/>
      <c r="J40" s="269"/>
      <c r="K40" s="270">
        <f>(H40)*0.1</f>
        <v>0</v>
      </c>
      <c r="L40" s="270"/>
      <c r="M40" s="271">
        <f>IF($C$5="s",IF(SUM($H$41)&lt;=1000000,SUM(H40)*0.02,SUM(H40)*0.01),0)</f>
        <v>0</v>
      </c>
      <c r="N40" s="271"/>
      <c r="O40" s="272">
        <f>(M40*(0.04))</f>
        <v>0</v>
      </c>
      <c r="P40" s="273">
        <f>(M40+O40)*0.22</f>
        <v>0</v>
      </c>
      <c r="Q40" s="274">
        <f>IF(F40="E",G40*12,0)</f>
        <v>0</v>
      </c>
      <c r="R40" s="275">
        <f>BW40*0.22</f>
        <v>0</v>
      </c>
      <c r="S40" s="299">
        <f>IF(F40="E",H40*1.5%,0)</f>
        <v>0</v>
      </c>
      <c r="T40" s="300">
        <f>S40*0.02</f>
        <v>0</v>
      </c>
      <c r="U40" s="301">
        <f>(S40+T40)*0.22</f>
        <v>0</v>
      </c>
      <c r="V40" s="274">
        <f>H40*0.15</f>
        <v>0</v>
      </c>
      <c r="W40" s="272">
        <f>V40*0.04</f>
        <v>0</v>
      </c>
      <c r="X40" s="276">
        <f>0.22*(W40+V40)</f>
        <v>0</v>
      </c>
      <c r="Y40" s="277">
        <f>SUM(K40:X40)-Q40+BW40</f>
        <v>0</v>
      </c>
      <c r="Z40" s="278">
        <f>Y40+H40</f>
        <v>0</v>
      </c>
      <c r="AA40" s="278"/>
      <c r="AB40" s="240"/>
      <c r="AC40" s="240"/>
      <c r="AF40" s="151"/>
      <c r="AG40" s="151"/>
      <c r="AH40" s="279">
        <f>IF($N19="E",$T19,0)</f>
        <v>0</v>
      </c>
      <c r="AI40" s="241">
        <f>IF(OR($F40="E",$F40="E"),$G40,0)</f>
        <v>0</v>
      </c>
      <c r="AJ40" s="279">
        <f>IF(OR($F40="B",$F40="C"),$G40,0)</f>
        <v>0</v>
      </c>
      <c r="AK40" s="279">
        <f>IF($F40="A",$G40,0)</f>
        <v>0</v>
      </c>
      <c r="AL40" s="279">
        <f>IF($N19="A",$F19,0)</f>
        <v>0</v>
      </c>
      <c r="AM40" s="241">
        <f>IF(AND($F40="A",$F19&gt;0),$G40,0)</f>
        <v>0</v>
      </c>
      <c r="AN40" s="241">
        <f>IF($F19&gt;0,$G40,0)</f>
        <v>0</v>
      </c>
      <c r="AQ40" s="242">
        <f>IF($N19="E",$R19/'DATI (2)'!$E$13,0)</f>
        <v>0</v>
      </c>
      <c r="AR40" s="242">
        <f>IF($N19="E",$S19/'DATI (2)'!$E$14,0)</f>
        <v>0</v>
      </c>
      <c r="AS40" s="243">
        <f>($R19)/'DATI (2)'!$E$13</f>
        <v>0</v>
      </c>
      <c r="AT40" s="243">
        <f>$S19/'DATI (2)'!$E$14</f>
        <v>0</v>
      </c>
      <c r="AV40" s="242">
        <f>IF(AND($F40="E",$F19&gt;0),$R19/'DATI (2)'!$E$13,0)</f>
        <v>0</v>
      </c>
      <c r="AW40" s="244">
        <f>IF(AND($F40="E",$F19&gt;0),$Z40,0)</f>
        <v>0</v>
      </c>
      <c r="AX40" s="242">
        <f>IF(AND($F40="E",$F19=0),$R19/'DATI (2)'!$E$13,0)</f>
        <v>0</v>
      </c>
      <c r="AY40" s="244">
        <f>IF(AND($F40="E",$F19=0,R19&gt;0),$Z40*$BT40,0)</f>
        <v>0</v>
      </c>
      <c r="AZ40" s="242">
        <f>IF(AND($F40="E"),$S19/'DATI (2)'!$E$13,0)</f>
        <v>0</v>
      </c>
      <c r="BA40" s="244">
        <f>IF(AND($F40="E",$S19&gt;0),$Z40*$BU40,0)</f>
        <v>0</v>
      </c>
      <c r="BC40" s="242">
        <f>IF(AND(OR($F40="B",$F40="C"),$F19&gt;0),$R19/'DATI (2)'!$E$13,0)</f>
        <v>0</v>
      </c>
      <c r="BD40" s="244">
        <f>IF(AND(AND(OR($F40="B",$F40="C")),$F19&gt;0),$Z40,0)</f>
        <v>0</v>
      </c>
      <c r="BE40" s="242">
        <f>IF(AND(OR($F40="B",$F40="C"),$F19=0),$R19/'DATI (2)'!$E$13,0)</f>
        <v>0</v>
      </c>
      <c r="BF40" s="244">
        <f>IF(AND((OR($F40="B",$F40="C")),$F19=0,R19&gt;0),$Z40*$BT40,0)</f>
        <v>0</v>
      </c>
      <c r="BG40" s="242">
        <f>IF(AND(OR($F40="B",$F40="C")),$S19/'DATI (2)'!$E$13,0)</f>
        <v>0</v>
      </c>
      <c r="BH40" s="244">
        <f>IF(AND((OR($F40="B",$F40="C")),$S19&gt;0),$Z40*$BU40,0)</f>
        <v>0</v>
      </c>
      <c r="BJ40" s="242">
        <f>IF(AND($F40="A",$F19&gt;0),$R19/'DATI (2)'!$E$13,0)</f>
        <v>0</v>
      </c>
      <c r="BK40" s="244">
        <f>IF(AND($F40="a",$F19&gt;0),$Z40,0)</f>
        <v>0</v>
      </c>
      <c r="BL40" s="242">
        <f>IF(AND($F40="A",$F19=0),$R19/'DATI (2)'!$E$13,0)</f>
        <v>0</v>
      </c>
      <c r="BM40" s="244">
        <f>IF(AND($F40="a",$F19=0,R19&gt;0),$Z40*$BT40,0)</f>
        <v>0</v>
      </c>
      <c r="BN40" s="242">
        <f>IF(AND($F40="A"),$S19/'DATI (2)'!$E$13,0)</f>
        <v>0</v>
      </c>
      <c r="BO40" s="244">
        <f>IF(AND($F40="a",$S19&gt;0),$Z40*$BU40,0)</f>
        <v>0</v>
      </c>
      <c r="BQ40" s="245">
        <f>Q19</f>
      </c>
      <c r="BR40" s="245">
        <f>R19/'DATI (2)'!$E$13</f>
        <v>0</v>
      </c>
      <c r="BS40" s="245">
        <f>S19/'DATI (2)'!$E$14</f>
        <v>0</v>
      </c>
      <c r="BT40" s="245" t="e">
        <f>BR40/BQ40</f>
        <v>#DIV/0!</v>
      </c>
      <c r="BU40" s="245" t="e">
        <f>BS40/BQ40</f>
        <v>#DIV/0!</v>
      </c>
      <c r="BW40" s="68">
        <f>IF(F40="E",$Q$41*G40/$AI$41,0)</f>
        <v>0</v>
      </c>
    </row>
    <row r="41" spans="4:75" s="196" customFormat="1" ht="21" customHeight="1">
      <c r="D41" s="280" t="s">
        <v>125</v>
      </c>
      <c r="E41" s="280"/>
      <c r="F41" s="280"/>
      <c r="G41" s="280"/>
      <c r="H41" s="281">
        <f>SUM(H26:H40)</f>
        <v>383234.18399999995</v>
      </c>
      <c r="I41" s="281"/>
      <c r="J41" s="281"/>
      <c r="K41" s="282">
        <f>SUM(K26:K40)</f>
        <v>38323.418399999995</v>
      </c>
      <c r="L41" s="282"/>
      <c r="M41" s="282">
        <f>SUM(M26:M40)</f>
        <v>7664.68368</v>
      </c>
      <c r="N41" s="282"/>
      <c r="O41" s="283">
        <f>SUM(O26:O40)</f>
        <v>306.58734719999995</v>
      </c>
      <c r="P41" s="283">
        <f>SUM(P26:P40)</f>
        <v>1753.6796259839998</v>
      </c>
      <c r="Q41" s="283">
        <f>IF(A5&gt;0,MIN(MAXA(5000,(SUM(Q26:Q40))),20000),0)</f>
        <v>5000</v>
      </c>
      <c r="R41" s="283">
        <f>Q41*0.22</f>
        <v>1100</v>
      </c>
      <c r="S41" s="283">
        <f>SUM(S26:S40)</f>
        <v>4834.316519999999</v>
      </c>
      <c r="T41" s="283">
        <f>SUM(T26:T40)</f>
        <v>96.68633039999999</v>
      </c>
      <c r="U41" s="283">
        <f>SUM(U26:U40)</f>
        <v>1084.8206270879998</v>
      </c>
      <c r="V41" s="283">
        <f>SUM(V26:V40)</f>
        <v>57485.12759999999</v>
      </c>
      <c r="W41" s="283">
        <f>SUM(W26:W40)</f>
        <v>2299.405104</v>
      </c>
      <c r="X41" s="283">
        <f>SUM(X26:X40)</f>
        <v>13152.597194879998</v>
      </c>
      <c r="Y41" s="283">
        <f>SUM(Y26:Y40)</f>
        <v>133101.32242955198</v>
      </c>
      <c r="Z41" s="284">
        <f>SUM(Z26:AA40)</f>
        <v>516335.506429552</v>
      </c>
      <c r="AA41" s="284"/>
      <c r="AB41" s="284"/>
      <c r="AC41" s="285"/>
      <c r="AF41" s="286"/>
      <c r="AG41" s="287" t="s">
        <v>125</v>
      </c>
      <c r="AH41" s="288">
        <f>SUM(AH26:AH40)</f>
        <v>252.45</v>
      </c>
      <c r="AI41" s="288">
        <f>SUM(AI26:AI40)</f>
        <v>297</v>
      </c>
      <c r="AJ41" s="288">
        <f>SUM(AJ26:AJ40)</f>
        <v>0</v>
      </c>
      <c r="AK41" s="288">
        <f>SUM(AK26:AK40)-AM41</f>
        <v>150.8</v>
      </c>
      <c r="AL41" s="288">
        <f>SUM(AL26:AL40)</f>
        <v>1</v>
      </c>
      <c r="AM41" s="288">
        <f>SUM(AM26:AM40)</f>
        <v>298.8</v>
      </c>
      <c r="AN41" s="288">
        <f>SUM(AN26:AN40)</f>
        <v>298.8</v>
      </c>
      <c r="AQ41" s="289">
        <f>SUM(AQ26:AQ40)</f>
        <v>297</v>
      </c>
      <c r="AR41" s="289">
        <f>SUM(AR26:AR40)</f>
        <v>0</v>
      </c>
      <c r="AS41" s="289">
        <f>SUM(AS26:AS40)</f>
        <v>746.6</v>
      </c>
      <c r="AT41" s="289">
        <f>SUM(AT26:AT40)</f>
        <v>0</v>
      </c>
      <c r="AU41" s="70"/>
      <c r="AV41" s="289">
        <f>SUM(AV26:AV40)</f>
        <v>0</v>
      </c>
      <c r="AW41" s="290">
        <f>SUM(AW26:AW40)</f>
        <v>0</v>
      </c>
      <c r="AX41" s="289">
        <f>SUM(AX26:AX40)</f>
        <v>297</v>
      </c>
      <c r="AY41" s="290">
        <f>SUM(AY26:AY40)</f>
        <v>436148.55068401597</v>
      </c>
      <c r="AZ41" s="289">
        <f>SUM(AZ26:AZ40)</f>
        <v>0</v>
      </c>
      <c r="BA41" s="290">
        <f>SUM(BA26:BA40)</f>
        <v>0</v>
      </c>
      <c r="BB41" s="68"/>
      <c r="BC41" s="289">
        <f>SUM(BC26:BC40)</f>
        <v>0</v>
      </c>
      <c r="BD41" s="290">
        <f>SUM(BD26:BD40)</f>
        <v>0</v>
      </c>
      <c r="BE41" s="289">
        <f>SUM(BE26:BE40)</f>
        <v>0</v>
      </c>
      <c r="BF41" s="290">
        <f>SUM(BF26:BF40)</f>
        <v>0</v>
      </c>
      <c r="BG41" s="289">
        <f>SUM(BG26:BG40)</f>
        <v>0</v>
      </c>
      <c r="BH41" s="289">
        <f>SUM(BH26:BH40)</f>
        <v>0</v>
      </c>
      <c r="BI41" s="68"/>
      <c r="BJ41" s="289">
        <f>SUM(BJ26:BJ40)</f>
        <v>298.8</v>
      </c>
      <c r="BK41" s="290">
        <f>SUM(BK26:BK40)</f>
        <v>57566.578600768</v>
      </c>
      <c r="BL41" s="289">
        <f>SUM(BL26:BL40)</f>
        <v>150.8</v>
      </c>
      <c r="BM41" s="290">
        <f>SUM(BM26:BM40)</f>
        <v>22620.377144768005</v>
      </c>
      <c r="BN41" s="289">
        <f>SUM(BN26:BN40)</f>
        <v>0</v>
      </c>
      <c r="BO41" s="289">
        <f>SUM(BO26:BO40)</f>
        <v>0</v>
      </c>
      <c r="BW41" s="196">
        <f>SUM(BW26:BW40)</f>
        <v>5000</v>
      </c>
    </row>
    <row r="42" spans="32:67" ht="12.75">
      <c r="AF42" s="291"/>
      <c r="AG42" s="292" t="s">
        <v>126</v>
      </c>
      <c r="AH42" s="293">
        <f>COUNTIF($N$5:$N$19,"E")</f>
        <v>1</v>
      </c>
      <c r="AI42" s="294">
        <f>COUNTIF($N$5:$N$19,"B")+COUNTIF($N$5:$N$19,"C")</f>
        <v>0</v>
      </c>
      <c r="AJ42" s="294">
        <f>COUNTIF($N$5:$N$19,"B")+COUNTIF($N$5:$N$19,"C")</f>
        <v>0</v>
      </c>
      <c r="AK42" s="294">
        <f>AK43-AL42</f>
        <v>1</v>
      </c>
      <c r="AL42" s="294">
        <f>SUM(AL26:AL40)</f>
        <v>1</v>
      </c>
      <c r="AM42" s="294">
        <f>SUM(AM26:AM40)</f>
        <v>298.8</v>
      </c>
      <c r="AN42" s="294">
        <f>SUM(AN26:AN40)</f>
        <v>298.8</v>
      </c>
      <c r="AQ42" s="295">
        <f>COUNTIF($P$4:$P$18,"E")</f>
        <v>0</v>
      </c>
      <c r="AR42" s="295"/>
      <c r="AS42" s="295">
        <f>COUNTIF($P$4:$P$18,"E")</f>
        <v>0</v>
      </c>
      <c r="AT42" s="295">
        <f>COUNTIF($P$4:$P$18,"E")</f>
        <v>0</v>
      </c>
      <c r="AV42" s="295">
        <f>COUNTIF(AV26:AV40,"&gt;0")</f>
        <v>0</v>
      </c>
      <c r="AW42" s="295"/>
      <c r="AX42" s="295">
        <f>COUNTIF(AX26:AX40,"&gt;0")</f>
        <v>1</v>
      </c>
      <c r="AY42" s="295"/>
      <c r="AZ42" s="295">
        <f>COUNTIF(AZ26:AZ40,"&gt;0")</f>
        <v>0</v>
      </c>
      <c r="BA42" s="295"/>
      <c r="BC42" s="295">
        <f>COUNTIF(BC26:BC40,"&gt;0")</f>
        <v>0</v>
      </c>
      <c r="BD42" s="295"/>
      <c r="BE42" s="295">
        <f>COUNTIF(BE26:BE40,"&gt;0")</f>
        <v>0</v>
      </c>
      <c r="BF42" s="295"/>
      <c r="BG42" s="295">
        <f>COUNTIF(BG26:BG40,"&gt;0")</f>
        <v>0</v>
      </c>
      <c r="BH42" s="295">
        <f>COUNTIF(BH26:BH40,"&gt;0")</f>
        <v>0</v>
      </c>
      <c r="BJ42" s="295">
        <f>COUNTIF(BJ26:BJ40,"&gt;0")</f>
        <v>1</v>
      </c>
      <c r="BK42" s="295"/>
      <c r="BL42" s="295">
        <f>COUNTIF(BL26:BL40,"&gt;0")</f>
        <v>1</v>
      </c>
      <c r="BM42" s="295"/>
      <c r="BN42" s="295">
        <f>COUNTIF(BN26:BN40,"&gt;0")</f>
        <v>0</v>
      </c>
      <c r="BO42" s="295">
        <f>COUNTIF(BO26:BO40,"&gt;0")</f>
        <v>0</v>
      </c>
    </row>
    <row r="43" spans="4:39" ht="12.75">
      <c r="D43" s="68" t="s">
        <v>127</v>
      </c>
      <c r="AF43" s="151"/>
      <c r="AG43" s="151"/>
      <c r="AH43" s="151"/>
      <c r="AI43" s="296" t="s">
        <v>128</v>
      </c>
      <c r="AJ43" s="296" t="s">
        <v>128</v>
      </c>
      <c r="AK43" s="297">
        <f>COUNTIF($N$5:$N$19,"A")</f>
        <v>2</v>
      </c>
      <c r="AL43" s="151"/>
      <c r="AM43" s="151"/>
    </row>
    <row r="44" spans="4:39" ht="12.75">
      <c r="D44" s="68" t="s">
        <v>129</v>
      </c>
      <c r="AF44" s="151"/>
      <c r="AG44" s="151"/>
      <c r="AH44" s="151"/>
      <c r="AI44" s="296" t="s">
        <v>128</v>
      </c>
      <c r="AJ44" s="296" t="s">
        <v>128</v>
      </c>
      <c r="AK44" s="294">
        <f>SUM(AK26:AK40)</f>
        <v>449.6</v>
      </c>
      <c r="AL44" s="151"/>
      <c r="AM44" s="151"/>
    </row>
    <row r="45" spans="4:64" ht="12.75">
      <c r="D45" s="68" t="s">
        <v>130</v>
      </c>
      <c r="AF45" s="151"/>
      <c r="AG45" s="151"/>
      <c r="AH45" s="151"/>
      <c r="AI45" s="68" t="s">
        <v>131</v>
      </c>
      <c r="AJ45" s="151"/>
      <c r="AK45" s="294">
        <f>(SUM(S5:S19)/'DATI (2)'!$E$14)</f>
        <v>0</v>
      </c>
      <c r="AL45" s="151"/>
      <c r="AM45" s="151"/>
      <c r="BJ45" s="264">
        <f>$BM$41+$BK$41+$BO$41+$BH$41+$BF$41+$BD$41+$BA$41+$AY$41+$AW$41</f>
        <v>516335.506429552</v>
      </c>
      <c r="BK45" s="264">
        <f>$Z$41</f>
        <v>516335.506429552</v>
      </c>
      <c r="BL45" s="264">
        <f>BJ45-BK45</f>
        <v>0</v>
      </c>
    </row>
    <row r="46" spans="20:42" ht="12.75">
      <c r="T46" s="198"/>
      <c r="AF46" s="151"/>
      <c r="AG46" s="151"/>
      <c r="AH46" s="151"/>
      <c r="AI46" s="151"/>
      <c r="AJ46" s="151"/>
      <c r="AK46" s="151"/>
      <c r="AL46" s="151"/>
      <c r="AM46" s="71"/>
      <c r="AN46" s="71"/>
      <c r="AO46" s="71"/>
      <c r="AP46" s="71"/>
    </row>
    <row r="47" spans="32:42" ht="12.75"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</row>
    <row r="48" spans="32:42" ht="12.75"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</row>
    <row r="49" spans="32:42" ht="12.75"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</row>
  </sheetData>
  <sheetProtection selectLockedCells="1" selectUnlockedCells="1"/>
  <mergeCells count="78">
    <mergeCell ref="D3:T3"/>
    <mergeCell ref="U3:AC3"/>
    <mergeCell ref="D24:X24"/>
    <mergeCell ref="Y24:AC24"/>
    <mergeCell ref="AI24:AK24"/>
    <mergeCell ref="AL24:AM24"/>
    <mergeCell ref="AV24:BO24"/>
    <mergeCell ref="H25:J25"/>
    <mergeCell ref="K25:L25"/>
    <mergeCell ref="M25:N25"/>
    <mergeCell ref="Z25:AA25"/>
    <mergeCell ref="AB25:AC25"/>
    <mergeCell ref="H26:J26"/>
    <mergeCell ref="K26:L26"/>
    <mergeCell ref="M26:N26"/>
    <mergeCell ref="Z26:AA26"/>
    <mergeCell ref="AB26:AC40"/>
    <mergeCell ref="H27:J27"/>
    <mergeCell ref="K27:L27"/>
    <mergeCell ref="M27:N27"/>
    <mergeCell ref="Z27:AA27"/>
    <mergeCell ref="H28:J28"/>
    <mergeCell ref="K28:L28"/>
    <mergeCell ref="M28:N28"/>
    <mergeCell ref="Z28:AA28"/>
    <mergeCell ref="H29:J29"/>
    <mergeCell ref="K29:L29"/>
    <mergeCell ref="M29:N29"/>
    <mergeCell ref="Z29:AA29"/>
    <mergeCell ref="H30:J30"/>
    <mergeCell ref="K30:L30"/>
    <mergeCell ref="M30:N30"/>
    <mergeCell ref="Z30:AA30"/>
    <mergeCell ref="H31:J31"/>
    <mergeCell ref="K31:L31"/>
    <mergeCell ref="M31:N31"/>
    <mergeCell ref="Z31:AA31"/>
    <mergeCell ref="H32:J32"/>
    <mergeCell ref="K32:L32"/>
    <mergeCell ref="M32:N32"/>
    <mergeCell ref="Z32:AA32"/>
    <mergeCell ref="H33:J33"/>
    <mergeCell ref="K33:L33"/>
    <mergeCell ref="M33:N33"/>
    <mergeCell ref="Z33:AA33"/>
    <mergeCell ref="H34:J34"/>
    <mergeCell ref="K34:L34"/>
    <mergeCell ref="M34:N34"/>
    <mergeCell ref="Z34:AA34"/>
    <mergeCell ref="H35:J35"/>
    <mergeCell ref="K35:L35"/>
    <mergeCell ref="M35:N35"/>
    <mergeCell ref="Z35:AA35"/>
    <mergeCell ref="H36:J36"/>
    <mergeCell ref="K36:L36"/>
    <mergeCell ref="M36:N36"/>
    <mergeCell ref="Z36:AA36"/>
    <mergeCell ref="H37:J37"/>
    <mergeCell ref="K37:L37"/>
    <mergeCell ref="M37:N37"/>
    <mergeCell ref="Z37:AA37"/>
    <mergeCell ref="H38:J38"/>
    <mergeCell ref="K38:L38"/>
    <mergeCell ref="M38:N38"/>
    <mergeCell ref="Z38:AA38"/>
    <mergeCell ref="H39:J39"/>
    <mergeCell ref="K39:L39"/>
    <mergeCell ref="M39:N39"/>
    <mergeCell ref="Z39:AA39"/>
    <mergeCell ref="H40:J40"/>
    <mergeCell ref="K40:L40"/>
    <mergeCell ref="M40:N40"/>
    <mergeCell ref="Z40:AA40"/>
    <mergeCell ref="D41:G41"/>
    <mergeCell ref="H41:J41"/>
    <mergeCell ref="K41:L41"/>
    <mergeCell ref="M41:N41"/>
    <mergeCell ref="Z41:AA41"/>
  </mergeCells>
  <conditionalFormatting sqref="S26:U4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49"/>
  <sheetViews>
    <sheetView zoomScale="75" zoomScaleNormal="75" zoomScaleSheetLayoutView="70" workbookViewId="0" topLeftCell="AN19">
      <selection activeCell="N7" sqref="N7"/>
    </sheetView>
  </sheetViews>
  <sheetFormatPr defaultColWidth="9.140625" defaultRowHeight="12.75"/>
  <cols>
    <col min="1" max="1" width="12.140625" style="68" customWidth="1"/>
    <col min="2" max="2" width="7.57421875" style="68" customWidth="1"/>
    <col min="3" max="3" width="10.140625" style="68" customWidth="1"/>
    <col min="4" max="5" width="10.421875" style="68" customWidth="1"/>
    <col min="6" max="6" width="7.7109375" style="68" customWidth="1"/>
    <col min="7" max="7" width="14.57421875" style="68" customWidth="1"/>
    <col min="8" max="9" width="13.00390625" style="68" customWidth="1"/>
    <col min="10" max="10" width="22.140625" style="68" customWidth="1"/>
    <col min="11" max="12" width="8.28125" style="68" customWidth="1"/>
    <col min="13" max="13" width="11.28125" style="68" customWidth="1"/>
    <col min="14" max="14" width="12.57421875" style="69" customWidth="1"/>
    <col min="15" max="15" width="25.28125" style="69" customWidth="1"/>
    <col min="16" max="16" width="16.57421875" style="69" customWidth="1"/>
    <col min="17" max="17" width="15.28125" style="69" customWidth="1"/>
    <col min="18" max="18" width="14.8515625" style="69" customWidth="1"/>
    <col min="19" max="19" width="18.140625" style="69" customWidth="1"/>
    <col min="20" max="20" width="27.140625" style="69" customWidth="1"/>
    <col min="21" max="21" width="21.7109375" style="68" customWidth="1"/>
    <col min="22" max="22" width="20.7109375" style="68" customWidth="1"/>
    <col min="23" max="23" width="19.7109375" style="68" customWidth="1"/>
    <col min="24" max="24" width="21.140625" style="68" customWidth="1"/>
    <col min="25" max="25" width="19.8515625" style="68" customWidth="1"/>
    <col min="26" max="26" width="10.421875" style="68" customWidth="1"/>
    <col min="27" max="28" width="21.57421875" style="68" customWidth="1"/>
    <col min="29" max="29" width="21.140625" style="68" customWidth="1"/>
    <col min="30" max="31" width="1.421875" style="68" customWidth="1"/>
    <col min="32" max="32" width="12.28125" style="68" customWidth="1"/>
    <col min="33" max="33" width="7.7109375" style="68" customWidth="1"/>
    <col min="34" max="34" width="12.421875" style="68" customWidth="1"/>
    <col min="35" max="35" width="12.140625" style="68" customWidth="1"/>
    <col min="36" max="36" width="9.28125" style="68" customWidth="1"/>
    <col min="37" max="37" width="15.28125" style="68" customWidth="1"/>
    <col min="38" max="38" width="12.7109375" style="68" customWidth="1"/>
    <col min="39" max="39" width="11.00390625" style="68" customWidth="1"/>
    <col min="40" max="40" width="12.140625" style="68" customWidth="1"/>
    <col min="41" max="46" width="8.8515625" style="68" customWidth="1"/>
    <col min="47" max="47" width="8.8515625" style="70" customWidth="1"/>
    <col min="48" max="50" width="8.8515625" style="68" customWidth="1"/>
    <col min="51" max="51" width="13.8515625" style="68" customWidth="1"/>
    <col min="52" max="61" width="8.8515625" style="68" customWidth="1"/>
    <col min="62" max="63" width="11.8515625" style="68" customWidth="1"/>
    <col min="64" max="64" width="8.8515625" style="68" customWidth="1"/>
    <col min="65" max="65" width="15.140625" style="68" customWidth="1"/>
    <col min="66" max="16384" width="8.8515625" style="68" customWidth="1"/>
  </cols>
  <sheetData>
    <row r="1" spans="32:42" ht="12.75"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</row>
    <row r="2" spans="4:42" ht="36" customHeight="1"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 t="s">
        <v>33</v>
      </c>
      <c r="P2" s="74"/>
      <c r="Q2" s="73"/>
      <c r="R2" s="73"/>
      <c r="S2" s="73" t="s">
        <v>139</v>
      </c>
      <c r="T2" s="73" t="s">
        <v>35</v>
      </c>
      <c r="U2" s="73" t="s">
        <v>140</v>
      </c>
      <c r="V2" s="73" t="s">
        <v>37</v>
      </c>
      <c r="W2" s="73"/>
      <c r="X2" s="73"/>
      <c r="Y2" s="73"/>
      <c r="Z2" s="73"/>
      <c r="AA2" s="73"/>
      <c r="AB2" s="73"/>
      <c r="AC2" s="75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4:42" ht="25.5" customHeight="1">
      <c r="D3" s="76" t="s">
        <v>38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 t="s">
        <v>39</v>
      </c>
      <c r="V3" s="76"/>
      <c r="W3" s="76"/>
      <c r="X3" s="76"/>
      <c r="Y3" s="76"/>
      <c r="Z3" s="76"/>
      <c r="AA3" s="76"/>
      <c r="AB3" s="76"/>
      <c r="AC3" s="76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47" s="88" customFormat="1" ht="75" customHeight="1">
      <c r="A4" s="77" t="s">
        <v>40</v>
      </c>
      <c r="B4" s="77" t="s">
        <v>41</v>
      </c>
      <c r="C4" s="78" t="s">
        <v>42</v>
      </c>
      <c r="D4" s="79" t="s">
        <v>43</v>
      </c>
      <c r="E4" s="80" t="s">
        <v>44</v>
      </c>
      <c r="F4" s="80" t="s">
        <v>45</v>
      </c>
      <c r="G4" s="80" t="s">
        <v>46</v>
      </c>
      <c r="H4" s="80" t="s">
        <v>47</v>
      </c>
      <c r="I4" s="80" t="s">
        <v>48</v>
      </c>
      <c r="J4" s="80" t="s">
        <v>49</v>
      </c>
      <c r="K4" s="80" t="s">
        <v>50</v>
      </c>
      <c r="L4" s="80" t="s">
        <v>51</v>
      </c>
      <c r="M4" s="81" t="s">
        <v>52</v>
      </c>
      <c r="N4" s="82" t="s">
        <v>53</v>
      </c>
      <c r="O4" s="82" t="s">
        <v>54</v>
      </c>
      <c r="P4" s="82" t="s">
        <v>55</v>
      </c>
      <c r="Q4" s="82" t="s">
        <v>56</v>
      </c>
      <c r="R4" s="82" t="s">
        <v>57</v>
      </c>
      <c r="S4" s="82" t="s">
        <v>58</v>
      </c>
      <c r="T4" s="83" t="s">
        <v>59</v>
      </c>
      <c r="U4" s="82" t="s">
        <v>60</v>
      </c>
      <c r="V4" s="82" t="s">
        <v>134</v>
      </c>
      <c r="W4" s="298" t="s">
        <v>135</v>
      </c>
      <c r="X4" s="82" t="s">
        <v>63</v>
      </c>
      <c r="Y4" s="82" t="s">
        <v>28</v>
      </c>
      <c r="Z4" s="82" t="s">
        <v>64</v>
      </c>
      <c r="AA4" s="82" t="s">
        <v>65</v>
      </c>
      <c r="AB4" s="84" t="s">
        <v>66</v>
      </c>
      <c r="AC4" s="85" t="s">
        <v>67</v>
      </c>
      <c r="AD4" s="86"/>
      <c r="AE4" s="86"/>
      <c r="AF4" s="86"/>
      <c r="AG4" s="86"/>
      <c r="AH4" s="86"/>
      <c r="AI4" s="86"/>
      <c r="AJ4" s="86"/>
      <c r="AK4" s="87"/>
      <c r="AL4" s="86"/>
      <c r="AM4" s="86"/>
      <c r="AN4" s="86"/>
      <c r="AO4" s="86"/>
      <c r="AP4" s="86"/>
      <c r="AU4" s="89"/>
    </row>
    <row r="5" spans="1:42" ht="24" customHeight="1">
      <c r="A5" s="90">
        <f>COUNTIF(N5:N19,"E")</f>
        <v>2</v>
      </c>
      <c r="B5" s="90">
        <v>1</v>
      </c>
      <c r="C5" s="91" t="s">
        <v>68</v>
      </c>
      <c r="D5" s="92">
        <v>39</v>
      </c>
      <c r="E5" s="93"/>
      <c r="F5" s="94">
        <v>1</v>
      </c>
      <c r="G5" s="95"/>
      <c r="H5" s="96" t="s">
        <v>70</v>
      </c>
      <c r="I5" s="97" t="s">
        <v>71</v>
      </c>
      <c r="J5" s="98"/>
      <c r="K5" s="99">
        <v>2.6</v>
      </c>
      <c r="L5" s="99">
        <v>8</v>
      </c>
      <c r="M5" s="99">
        <v>1</v>
      </c>
      <c r="N5" s="100" t="s">
        <v>77</v>
      </c>
      <c r="O5" s="101"/>
      <c r="P5" s="102">
        <v>74</v>
      </c>
      <c r="Q5" s="103">
        <f>IF(P5&gt;0,(P5*K5),"")</f>
        <v>192.4</v>
      </c>
      <c r="R5" s="103">
        <f>IF(N5&lt;&gt;"",Q5*DATI!$E$13-S5,"0,00")</f>
        <v>163.54</v>
      </c>
      <c r="S5" s="102">
        <v>0</v>
      </c>
      <c r="T5" s="104">
        <f>IF(OR(R5&gt;0,S5&gt;0),(R5+S5*0.6),"")</f>
        <v>163.54</v>
      </c>
      <c r="U5" s="105" t="str">
        <f>IF($A$5&gt;0," ",IF(AND(N5="A",F5&gt;0),(9687.52)*F5,IF(AND($A$5=0,C5="S",N5="A",F5=1),9687.52," ")))</f>
        <v> </v>
      </c>
      <c r="V5" s="106" t="str">
        <f>IF(AND(N5="A",F5&gt;=0,C5="s",$A$5&gt;0),9687.52*F5+114.01*Q5," ")</f>
        <v> </v>
      </c>
      <c r="W5" s="107" t="str">
        <f>IF(AND(OR(N5="B",N5="C"),$A$5=0,$C$5="N"),116.25*Q5+'DATI (2)'!$E$4*Q5,IF(AND(OR(N5="B",N5="C"),$A$5=0,$C$5="S"),114.01*Q5+'DATI (2)'!$E$4*Q5," "))</f>
        <v> </v>
      </c>
      <c r="X5" s="106" t="str">
        <f>IF(AND(OR(N5="B",N5="C"),C5="s",$A$5&gt;0),114.01*1.3*Q5+1.3*'DATI (2)'!$E$4*Q5," ")</f>
        <v> </v>
      </c>
      <c r="Y5" s="106">
        <f>IF(N5="E",IF(M5=1,'DATI (2)'!$E$7*T5,IF(M5=2,'DATI (2)'!$E$8*T5,IF(M5=3,'DATI (2)'!$E$9*T5)))*B5," ")</f>
        <v>208781.70560000002</v>
      </c>
      <c r="Z5" s="108"/>
      <c r="AA5" s="109">
        <f>IF(Z5="X",'DATI (2)'!$E$5*P5*L5,"")</f>
      </c>
      <c r="AB5" s="110">
        <f>IF(G5="X",-SUM(U5:Y5)*'DATI (2)'!$E$15,"")</f>
      </c>
      <c r="AC5" s="111">
        <f>SUM(U5:AB5)</f>
        <v>208781.70560000002</v>
      </c>
      <c r="AD5" s="71"/>
      <c r="AE5" s="71"/>
      <c r="AF5" s="71"/>
      <c r="AG5" s="71"/>
      <c r="AH5" s="71"/>
      <c r="AI5" s="71"/>
      <c r="AJ5" s="71"/>
      <c r="AK5" s="112"/>
      <c r="AL5" s="71"/>
      <c r="AM5" s="71"/>
      <c r="AN5" s="71"/>
      <c r="AO5" s="71"/>
      <c r="AP5" s="71"/>
    </row>
    <row r="6" spans="1:42" ht="19.5" customHeight="1">
      <c r="A6" s="113"/>
      <c r="B6" s="90">
        <v>1</v>
      </c>
      <c r="C6" s="91" t="s">
        <v>68</v>
      </c>
      <c r="D6" s="114">
        <v>65</v>
      </c>
      <c r="E6" s="115"/>
      <c r="F6" s="116">
        <v>1</v>
      </c>
      <c r="G6" s="117"/>
      <c r="H6" s="118" t="s">
        <v>70</v>
      </c>
      <c r="I6" s="119" t="s">
        <v>71</v>
      </c>
      <c r="J6" s="120"/>
      <c r="K6" s="121">
        <v>3</v>
      </c>
      <c r="L6" s="121">
        <v>9</v>
      </c>
      <c r="M6" s="121">
        <v>1</v>
      </c>
      <c r="N6" s="122" t="s">
        <v>77</v>
      </c>
      <c r="O6" s="123"/>
      <c r="P6" s="124">
        <v>86</v>
      </c>
      <c r="Q6" s="125">
        <f>IF(P6&gt;0,(P6*K6),"")</f>
        <v>258</v>
      </c>
      <c r="R6" s="125">
        <f>IF(N6&lt;&gt;"",Q6*DATI!$E$13-S6,"0,00")</f>
        <v>219.29999999999998</v>
      </c>
      <c r="S6" s="124">
        <v>0</v>
      </c>
      <c r="T6" s="126">
        <f>IF(OR(R6&gt;0,S6&gt;0),(R6+S6*0.6),"")</f>
        <v>219.29999999999998</v>
      </c>
      <c r="U6" s="127" t="str">
        <f>IF($A$5&gt;0," ",IF(AND(N6="A",F6&gt;0),(9687.52)*F6,IF(AND($A$5=0,C6="S",N6="A",F6=1),9687.52," ")))</f>
        <v> </v>
      </c>
      <c r="V6" s="128" t="str">
        <f>IF(AND(N6="A",F6&gt;=0,C6="s",$A$5&gt;0),9687.52*F6+114.01*Q6," ")</f>
        <v> </v>
      </c>
      <c r="W6" s="129" t="str">
        <f>IF(AND(OR(N6="B",N6="C"),$A$5=0,$C$5="N"),116.25*Q6+'DATI (2)'!$E$4*Q6,IF(AND(OR(N6="B",N6="C"),$A$5=0,$C$5="S"),114.01*Q6+'DATI (2)'!$E$4*Q6," "))</f>
        <v> </v>
      </c>
      <c r="X6" s="128" t="str">
        <f>IF(AND(OR(N6="B",N6="C"),C6="s",$A$5&gt;0),114.01*1.3*Q6+1.3*'DATI (2)'!$E$4*Q6," ")</f>
        <v> </v>
      </c>
      <c r="Y6" s="128">
        <f>IF(N6="E",IF(M6=1,'DATI (2)'!$E$7*T6,IF(M6=2,'DATI (2)'!$E$8*T6,IF(M6=3,'DATI (2)'!$E$9*T6)))*B6," ")</f>
        <v>279967.152</v>
      </c>
      <c r="Z6" s="130"/>
      <c r="AA6" s="131">
        <f>IF(Z6="X",'DATI (2)'!$E$5*P6*L6,"")</f>
      </c>
      <c r="AB6" s="132">
        <f>IF(G6="X",-SUM(U6:Y6)*'DATI (2)'!$E$15,"")</f>
      </c>
      <c r="AC6" s="133">
        <f>SUM(U6:AB6)</f>
        <v>279967.152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42" ht="19.5" customHeight="1">
      <c r="A7" s="113"/>
      <c r="B7" s="90">
        <v>1</v>
      </c>
      <c r="C7" s="91" t="s">
        <v>68</v>
      </c>
      <c r="D7" s="134"/>
      <c r="E7" s="135"/>
      <c r="F7" s="136"/>
      <c r="G7" s="137"/>
      <c r="H7" s="138"/>
      <c r="I7" s="138"/>
      <c r="J7" s="139"/>
      <c r="K7" s="140"/>
      <c r="L7" s="140"/>
      <c r="M7" s="140"/>
      <c r="N7" s="141"/>
      <c r="O7" s="142"/>
      <c r="P7" s="143"/>
      <c r="Q7" s="125"/>
      <c r="R7" s="125"/>
      <c r="S7" s="143"/>
      <c r="T7" s="126"/>
      <c r="U7" s="144" t="str">
        <f>IF($A$5&gt;0," ",IF(AND(N7="A",F7&gt;0),(9687.52)*F7,IF(AND($A$5=0,C7="S",N7="A",F7=1),9687.52," ")))</f>
        <v> </v>
      </c>
      <c r="V7" s="128" t="str">
        <f>IF(AND(N7="A",F7&gt;=0,C7="s",$A$5&gt;0),9687.52*F7+114.01*Q7," ")</f>
        <v> </v>
      </c>
      <c r="W7" s="145" t="str">
        <f>IF(AND(OR(N7="B",N7="C"),$A$5=0,$C$5="N"),116.25*Q7+'DATI (2)'!$E$4*Q7,IF(AND(OR(N7="B",N7="C"),$A$5=0,$C$5="S"),114.01*Q7+'DATI (2)'!$E$4*Q7," "))</f>
        <v> </v>
      </c>
      <c r="X7" s="128" t="str">
        <f>IF(AND(OR(N7="B",N7="C"),C7="s",$A$5&gt;0),114.01*1.3*Q7+1.3*'DATI (2)'!$E$4*Q7," ")</f>
        <v> </v>
      </c>
      <c r="Y7" s="128" t="str">
        <f>IF(N7="E",IF(M7=1,'DATI (2)'!$E$7*T7,IF(M7=2,'DATI (2)'!$E$8*T7,IF(M7=3,'DATI (2)'!$E$9*T7)))*B7," ")</f>
        <v> </v>
      </c>
      <c r="Z7" s="130"/>
      <c r="AA7" s="131">
        <f>IF(Z7="X",'DATI (2)'!$E$5*P7*L7,"")</f>
      </c>
      <c r="AB7" s="132">
        <f>IF(G7="X",-SUM(U7:Y7)*'DATI (2)'!$E$15,"")</f>
      </c>
      <c r="AC7" s="133">
        <f>SUM(U7:AB7)</f>
        <v>0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spans="1:42" ht="27" customHeight="1">
      <c r="A8" s="113"/>
      <c r="B8" s="90">
        <v>1</v>
      </c>
      <c r="C8" s="91" t="s">
        <v>68</v>
      </c>
      <c r="D8" s="134"/>
      <c r="E8" s="135"/>
      <c r="F8" s="136"/>
      <c r="G8" s="137"/>
      <c r="H8" s="118"/>
      <c r="I8" s="138"/>
      <c r="J8" s="139"/>
      <c r="K8" s="140"/>
      <c r="L8" s="140"/>
      <c r="M8" s="140"/>
      <c r="N8" s="141"/>
      <c r="O8" s="142"/>
      <c r="P8" s="143"/>
      <c r="Q8" s="125"/>
      <c r="R8" s="125"/>
      <c r="S8" s="143"/>
      <c r="T8" s="126"/>
      <c r="U8" s="144" t="str">
        <f>IF($A$5&gt;0," ",IF(AND(N8="A",F8&gt;0),(9687.52)*F8,IF(AND($A$5=0,C8="S",N8="A",F8=1),9687.52," ")))</f>
        <v> </v>
      </c>
      <c r="V8" s="128" t="str">
        <f>IF(AND(N8="A",F8&gt;=0,C8="s",$A$5&gt;0),9687.52*F8+114.01*Q8," ")</f>
        <v> </v>
      </c>
      <c r="W8" s="145" t="str">
        <f>IF(AND(OR(N8="B",N8="C"),$A$5=0,$C$5="N"),116.25*Q8+'DATI (2)'!$E$4*Q8,IF(AND(OR(N8="B",N8="C"),$A$5=0,$C$5="S"),114.01*Q8+'DATI (2)'!$E$4*Q8," "))</f>
        <v> </v>
      </c>
      <c r="X8" s="128" t="str">
        <f>IF(AND(OR(N8="B",N8="C"),C8="s",$A$5&gt;0),114.01*1.3*Q8+1.3*'DATI (2)'!$E$4*Q8," ")</f>
        <v> </v>
      </c>
      <c r="Y8" s="128" t="str">
        <f>IF(N8="E",IF(M8=1,'DATI (2)'!$E$7*T8,IF(M8=2,'DATI (2)'!$E$8*T8,IF(M8=3,'DATI (2)'!$E$9*T8)))*B8," ")</f>
        <v> </v>
      </c>
      <c r="Z8" s="130"/>
      <c r="AA8" s="131">
        <f>IF(Z8="X",'DATI (2)'!$E$5*P8*L8,"")</f>
      </c>
      <c r="AB8" s="132">
        <f>IF(G8="X",-SUM(U8:Y8)*'DATI (2)'!$E$15,"")</f>
      </c>
      <c r="AC8" s="133">
        <f>SUM(U8:AB8)</f>
        <v>0</v>
      </c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1:42" ht="21" customHeight="1">
      <c r="A9" s="113"/>
      <c r="B9" s="90">
        <v>1</v>
      </c>
      <c r="C9" s="91" t="s">
        <v>68</v>
      </c>
      <c r="D9" s="134"/>
      <c r="E9" s="135"/>
      <c r="F9" s="136"/>
      <c r="G9" s="137"/>
      <c r="H9" s="118"/>
      <c r="I9" s="138"/>
      <c r="J9" s="139"/>
      <c r="K9" s="140"/>
      <c r="L9" s="140"/>
      <c r="M9" s="140"/>
      <c r="N9" s="141"/>
      <c r="O9" s="142"/>
      <c r="P9" s="143"/>
      <c r="Q9" s="125"/>
      <c r="R9" s="125"/>
      <c r="S9" s="143"/>
      <c r="T9" s="126"/>
      <c r="U9" s="144" t="str">
        <f>IF($A$5&gt;0," ",IF(AND(N9="A",F9&gt;0),(9687.52)*F9,IF(AND($A$5=0,C9="S",N9="A",F9=1),9687.52," ")))</f>
        <v> </v>
      </c>
      <c r="V9" s="128" t="str">
        <f>IF(AND(N9="A",F9&gt;=0,C9="s",$A$5&gt;0),9687.52*F9+114.01*Q9," ")</f>
        <v> </v>
      </c>
      <c r="W9" s="145" t="str">
        <f>IF(AND(OR(N9="B",N9="C"),$A$5=0,$C$5="N"),116.25*Q9+'DATI (2)'!$E$4*Q9,IF(AND(OR(N9="B",N9="C"),$A$5=0,$C$5="S"),114.01*Q9+'DATI (2)'!$E$4*Q9," "))</f>
        <v> </v>
      </c>
      <c r="X9" s="128" t="str">
        <f>IF(AND(OR(N9="B",N9="C"),C9="s",$A$5&gt;0),114.01*1.3*Q9+1.3*'DATI (2)'!$E$4*Q9," ")</f>
        <v> </v>
      </c>
      <c r="Y9" s="128" t="str">
        <f>IF(N9="E",IF(M9=1,'DATI (2)'!$E$7*T9,IF(M9=2,'DATI (2)'!$E$8*T9,IF(M9=3,'DATI (2)'!$E$9*T9)))*B9," ")</f>
        <v> </v>
      </c>
      <c r="Z9" s="130"/>
      <c r="AA9" s="131">
        <f>IF(Z9="X",'DATI (2)'!$E$5*P9*L9,"")</f>
      </c>
      <c r="AB9" s="132">
        <f>IF(G9="X",-SUM(U9:Y9)*'DATI (2)'!$E$15,"")</f>
      </c>
      <c r="AC9" s="133">
        <f>SUM(U9:AB9)</f>
        <v>0</v>
      </c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ht="19.5" customHeight="1">
      <c r="A10" s="113"/>
      <c r="B10" s="90">
        <v>1</v>
      </c>
      <c r="C10" s="91" t="s">
        <v>68</v>
      </c>
      <c r="D10" s="134"/>
      <c r="E10" s="135"/>
      <c r="F10" s="136"/>
      <c r="G10" s="137"/>
      <c r="H10" s="118"/>
      <c r="I10" s="138"/>
      <c r="J10" s="139"/>
      <c r="K10" s="140"/>
      <c r="L10" s="140"/>
      <c r="M10" s="140"/>
      <c r="N10" s="141"/>
      <c r="O10" s="142"/>
      <c r="P10" s="146"/>
      <c r="Q10" s="149"/>
      <c r="R10" s="149"/>
      <c r="S10" s="143"/>
      <c r="T10" s="150"/>
      <c r="U10" s="144" t="str">
        <f>IF($A$5&gt;0," ",IF(AND(N10="A",F10&gt;0),(9687.52)*F10,IF(AND($A$5=0,C10="S",N10="A",F10=1),9687.52," ")))</f>
        <v> </v>
      </c>
      <c r="V10" s="128" t="str">
        <f>IF(AND(N10="A",F10&gt;=0,C10="s",$A$5&gt;0),9687.52*F10+114.01*Q10," ")</f>
        <v> </v>
      </c>
      <c r="W10" s="145" t="str">
        <f>IF(AND(OR(N10="B",N10="C"),$A$5=0,$C$5="N"),116.25*Q10+'DATI (2)'!$E$4*Q10,IF(AND(OR(N10="B",N10="C"),$A$5=0,$C$5="S"),114.01*Q10+'DATI (2)'!$E$4*Q10," "))</f>
        <v> </v>
      </c>
      <c r="X10" s="128" t="str">
        <f>IF(AND(OR(N10="B",N10="C"),C10="s",$A$5&gt;0),114.01*1.3*Q10+1.3*'DATI (2)'!$E$4*Q10," ")</f>
        <v> </v>
      </c>
      <c r="Y10" s="128" t="str">
        <f>IF(N10="E",IF(M10=1,'DATI (2)'!$E$7*T10,IF(M10=2,'DATI (2)'!$E$8*T10,IF(M10=3,'DATI (2)'!$E$9*T10)))*B10," ")</f>
        <v> </v>
      </c>
      <c r="Z10" s="130"/>
      <c r="AA10" s="131">
        <f>IF(Z10="X",'DATI (2)'!$E$5*P10*L10,"")</f>
      </c>
      <c r="AB10" s="132">
        <f>IF(G10="X",-SUM(U10:Y10)*'DATI (2)'!$E$15,"")</f>
      </c>
      <c r="AC10" s="133">
        <f>SUM(U10:AB10)</f>
        <v>0</v>
      </c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ht="18" customHeight="1">
      <c r="A11" s="113"/>
      <c r="B11" s="90">
        <v>1</v>
      </c>
      <c r="C11" s="91" t="s">
        <v>68</v>
      </c>
      <c r="D11" s="134"/>
      <c r="E11" s="135"/>
      <c r="F11" s="136"/>
      <c r="G11" s="137"/>
      <c r="H11" s="147"/>
      <c r="I11" s="119"/>
      <c r="J11" s="148"/>
      <c r="K11" s="140"/>
      <c r="L11" s="140"/>
      <c r="M11" s="140"/>
      <c r="N11" s="141"/>
      <c r="O11" s="142"/>
      <c r="P11" s="146"/>
      <c r="Q11" s="149"/>
      <c r="R11" s="149"/>
      <c r="S11" s="143"/>
      <c r="T11" s="150"/>
      <c r="U11" s="144" t="str">
        <f>IF($A$5&gt;0," ",IF(AND(N11="A",F11&gt;0),(9687.52)*F11,IF(AND($A$5=0,C11="S",N11="A",F11=1),9687.52," ")))</f>
        <v> </v>
      </c>
      <c r="V11" s="128" t="str">
        <f>IF(AND(N11="A",F11&gt;=0,C11="s",$A$5&gt;0),9687.52*F11+114.01*Q11," ")</f>
        <v> </v>
      </c>
      <c r="W11" s="145" t="str">
        <f>IF(AND(OR(N11="B",N11="C"),$A$5=0,$C$5="N"),116.25*Q11+'DATI (2)'!$E$4*Q11,IF(AND(OR(N11="B",N11="C"),$A$5=0,$C$5="S"),114.01*Q11+'DATI (2)'!$E$4*Q11," "))</f>
        <v> </v>
      </c>
      <c r="X11" s="128" t="str">
        <f>IF(AND(OR(N11="B",N11="C"),C11="s",$A$5&gt;0),114.01*1.3*Q11+1.3*'DATI (2)'!$E$4*Q11," ")</f>
        <v> </v>
      </c>
      <c r="Y11" s="128" t="str">
        <f>IF(N11="E",IF(M11=1,'DATI (2)'!$E$7*T11,IF(M11=2,'DATI (2)'!$E$8*T11,IF(M11=3,'DATI (2)'!$E$9*T11)))*B11," ")</f>
        <v> </v>
      </c>
      <c r="Z11" s="130"/>
      <c r="AA11" s="131">
        <f>IF(Z11="X",'DATI (2)'!$E$5*P11*L11,"")</f>
      </c>
      <c r="AB11" s="132">
        <f>IF(G11="X",-SUM(U11:Y11)*'DATI (2)'!$E$15,"")</f>
      </c>
      <c r="AC11" s="133">
        <f>SUM(U11:AB11)</f>
        <v>0</v>
      </c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ht="19.5" customHeight="1">
      <c r="A12" s="113"/>
      <c r="B12" s="90">
        <v>1</v>
      </c>
      <c r="C12" s="91" t="s">
        <v>68</v>
      </c>
      <c r="D12" s="134"/>
      <c r="E12" s="135"/>
      <c r="F12" s="136"/>
      <c r="G12" s="137"/>
      <c r="H12" s="118"/>
      <c r="I12" s="138"/>
      <c r="J12" s="148"/>
      <c r="K12" s="140"/>
      <c r="L12" s="140"/>
      <c r="M12" s="140"/>
      <c r="N12" s="141"/>
      <c r="O12" s="142"/>
      <c r="P12" s="143"/>
      <c r="Q12" s="149"/>
      <c r="R12" s="149"/>
      <c r="S12" s="143"/>
      <c r="T12" s="150"/>
      <c r="U12" s="144" t="str">
        <f>IF($A$5&gt;0," ",IF(AND(N12="A",F12&gt;0),(9687.52)*F12,IF(AND($A$5=0,C12="S",N12="A",F12=1),9687.52," ")))</f>
        <v> </v>
      </c>
      <c r="V12" s="128" t="str">
        <f>IF(AND(N12="A",F12&gt;=0,C12="s",$A$5&gt;0),9687.52*F12+114.01*Q12," ")</f>
        <v> </v>
      </c>
      <c r="W12" s="145" t="str">
        <f>IF(AND(OR(N12="B",N12="C"),$A$5=0,$C$5="N"),116.25*Q12+'DATI (2)'!$E$4*Q12,IF(AND(OR(N12="B",N12="C"),$A$5=0,$C$5="S"),114.01*Q12+'DATI (2)'!$E$4*Q12," "))</f>
        <v> </v>
      </c>
      <c r="X12" s="128" t="str">
        <f>IF(AND(OR(N12="B",N12="C"),C12="s",$A$5&gt;0),114.01*1.3*Q12+1.3*'DATI (2)'!$E$4*Q12," ")</f>
        <v> </v>
      </c>
      <c r="Y12" s="128" t="str">
        <f>IF(N12="E",IF(M12=1,'DATI (2)'!$E$7*T12,IF(M12=2,'DATI (2)'!$E$8*T12,IF(M12=3,'DATI (2)'!$E$9*T12)))*B12," ")</f>
        <v> </v>
      </c>
      <c r="Z12" s="130"/>
      <c r="AA12" s="131">
        <f>IF(Z12="X",'DATI (2)'!$E$5*P12*L12,"")</f>
      </c>
      <c r="AB12" s="132">
        <f>IF(G12="X",-SUM(U12:Y12)*'DATI (2)'!$E$15,"")</f>
      </c>
      <c r="AC12" s="133">
        <f>SUM(U12:AB12)</f>
        <v>0</v>
      </c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ht="19.5" customHeight="1">
      <c r="A13" s="113"/>
      <c r="B13" s="90">
        <v>1</v>
      </c>
      <c r="C13" s="91" t="s">
        <v>68</v>
      </c>
      <c r="D13" s="134"/>
      <c r="E13" s="135"/>
      <c r="F13" s="136"/>
      <c r="G13" s="137"/>
      <c r="H13" s="138"/>
      <c r="I13" s="138"/>
      <c r="J13" s="148"/>
      <c r="K13" s="140"/>
      <c r="L13" s="140"/>
      <c r="M13" s="140"/>
      <c r="N13" s="141"/>
      <c r="O13" s="142"/>
      <c r="P13" s="146"/>
      <c r="Q13" s="149"/>
      <c r="R13" s="149"/>
      <c r="S13" s="143"/>
      <c r="T13" s="150"/>
      <c r="U13" s="144" t="str">
        <f>IF($A$5&gt;0," ",IF(AND(N13="A",F13&gt;0),(9687.52)*F13,IF(AND($A$5=0,C13="S",N13="A",F13=1),9687.52," ")))</f>
        <v> </v>
      </c>
      <c r="V13" s="128" t="str">
        <f>IF(AND(N13="A",F13&gt;=0,C13="s",$A$5&gt;0),9687.52*F13+114.01*Q13," ")</f>
        <v> </v>
      </c>
      <c r="W13" s="145" t="str">
        <f>IF(AND(OR(N13="B",N13="C"),$A$5=0,$C$5="N"),116.25*Q13+'DATI (2)'!$E$4*Q13,IF(AND(OR(N13="B",N13="C"),$A$5=0,$C$5="S"),114.01*Q13+'DATI (2)'!$E$4*Q13," "))</f>
        <v> </v>
      </c>
      <c r="X13" s="128" t="str">
        <f>IF(AND(OR(N13="B",N13="C"),C13="s",$A$5&gt;0),114.01*1.3*Q13+1.3*'DATI (2)'!$E$4*Q13," ")</f>
        <v> </v>
      </c>
      <c r="Y13" s="128" t="str">
        <f>IF(N13="E",IF(M13=1,'DATI (2)'!$E$7*T13,IF(M13=2,'DATI (2)'!$E$8*T13,IF(M13=3,'DATI (2)'!$E$9*T13)))*B13," ")</f>
        <v> </v>
      </c>
      <c r="Z13" s="130"/>
      <c r="AA13" s="131">
        <f>IF(Z13="X",'DATI (2)'!$E$5*P13*L13,"")</f>
      </c>
      <c r="AB13" s="132">
        <f>IF(G13="X",-SUM(U13:Y13)*'DATI (2)'!$E$15,"")</f>
      </c>
      <c r="AC13" s="133">
        <f>SUM(U13:AB13)</f>
        <v>0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ht="12.75">
      <c r="A14" s="113"/>
      <c r="B14" s="90">
        <v>1</v>
      </c>
      <c r="C14" s="91" t="s">
        <v>68</v>
      </c>
      <c r="D14" s="134"/>
      <c r="E14" s="135"/>
      <c r="F14" s="136"/>
      <c r="G14" s="137"/>
      <c r="H14" s="147"/>
      <c r="I14" s="119"/>
      <c r="J14" s="148"/>
      <c r="K14" s="140"/>
      <c r="L14" s="140"/>
      <c r="M14" s="140"/>
      <c r="N14" s="141"/>
      <c r="O14" s="142"/>
      <c r="P14" s="146"/>
      <c r="Q14" s="149"/>
      <c r="R14" s="149"/>
      <c r="S14" s="143"/>
      <c r="T14" s="150"/>
      <c r="U14" s="144" t="str">
        <f>IF($A$5&gt;0," ",IF(AND(N14="A",F14&gt;0),(9687.52)*F14,IF(AND($A$5=0,C14="S",N14="A",F14=1),9687.52," ")))</f>
        <v> </v>
      </c>
      <c r="V14" s="128" t="str">
        <f>IF(AND(N14="A",F14&gt;=0,C14="s",$A$5&gt;0),9687.52*F14+114.01*Q14," ")</f>
        <v> </v>
      </c>
      <c r="W14" s="145" t="str">
        <f>IF(AND(OR(N14="B",N14="C"),$A$5=0,$C$5="N"),116.25*Q14+'DATI (2)'!$E$4*Q14,IF(AND(OR(N14="B",N14="C"),$A$5=0,$C$5="S"),114.01*Q14+'DATI (2)'!$E$4*Q14," "))</f>
        <v> </v>
      </c>
      <c r="X14" s="128" t="str">
        <f>IF(AND(OR(N14="B",N14="C"),C14="s",$A$5&gt;0),114.01*1.3*Q14+1.3*'DATI (2)'!$E$4*Q14," ")</f>
        <v> </v>
      </c>
      <c r="Y14" s="128" t="str">
        <f>IF(N14="E",IF(M14=1,'DATI (2)'!$E$7*T14,IF(M14=2,'DATI (2)'!$E$8*T14,IF(M14=3,'DATI (2)'!$E$9*T14)))*B14," ")</f>
        <v> </v>
      </c>
      <c r="Z14" s="130"/>
      <c r="AA14" s="131">
        <f>IF(Z14="X",'DATI (2)'!$E$5*P14*L14,"")</f>
      </c>
      <c r="AB14" s="132">
        <f>IF(G14="X",-SUM(U14:Y14)*'DATI (2)'!$E$15,"")</f>
      </c>
      <c r="AC14" s="133">
        <f>SUM(U14:AB14)</f>
        <v>0</v>
      </c>
      <c r="AD14" s="71"/>
      <c r="AE14" s="71"/>
      <c r="AF14" s="151"/>
      <c r="AG14" s="151"/>
      <c r="AH14" s="151"/>
      <c r="AI14" s="151"/>
      <c r="AJ14" s="151"/>
      <c r="AK14" s="151"/>
      <c r="AL14" s="151"/>
      <c r="AM14" s="71"/>
      <c r="AN14" s="71"/>
      <c r="AO14" s="71"/>
      <c r="AP14" s="71"/>
    </row>
    <row r="15" spans="1:42" ht="21.75" customHeight="1">
      <c r="A15" s="113"/>
      <c r="B15" s="90">
        <v>1</v>
      </c>
      <c r="C15" s="91" t="s">
        <v>68</v>
      </c>
      <c r="D15" s="134"/>
      <c r="E15" s="135"/>
      <c r="F15" s="136"/>
      <c r="G15" s="137"/>
      <c r="H15" s="138"/>
      <c r="I15" s="138"/>
      <c r="J15" s="139"/>
      <c r="K15" s="140"/>
      <c r="L15" s="140"/>
      <c r="M15" s="140"/>
      <c r="N15" s="141"/>
      <c r="O15" s="142"/>
      <c r="P15" s="146"/>
      <c r="Q15" s="149"/>
      <c r="R15" s="149"/>
      <c r="S15" s="143"/>
      <c r="T15" s="150"/>
      <c r="U15" s="144" t="str">
        <f>IF($A$5&gt;0," ",IF(AND(N15="A",F15&gt;0),(9687.52)*F15,IF(AND($A$5=0,C15="S",N15="A",F15=1),9687.52," ")))</f>
        <v> </v>
      </c>
      <c r="V15" s="128" t="str">
        <f>IF(AND(N15="A",F15&gt;=0,C15="s",$A$5&gt;0),9687.52*F15+114.01*Q15," ")</f>
        <v> </v>
      </c>
      <c r="W15" s="145" t="str">
        <f>IF(AND(OR(N15="B",N15="C"),$A$5=0,$C$5="N"),116.25*Q15+'DATI (2)'!$E$4*Q15,IF(AND(OR(N15="B",N15="C"),$A$5=0,$C$5="S"),114.01*Q15+'DATI (2)'!$E$4*Q15," "))</f>
        <v> </v>
      </c>
      <c r="X15" s="128" t="str">
        <f>IF(AND(OR(N15="B",N15="C"),C15="s",$A$5&gt;0),114.01*1.3*Q15+1.3*'DATI (2)'!$E$4*Q15," ")</f>
        <v> </v>
      </c>
      <c r="Y15" s="128" t="str">
        <f>IF(N15="E",IF(M15=1,'DATI (2)'!$E$7*T15,IF(M15=2,'DATI (2)'!$E$8*T15,IF(M15=3,'DATI (2)'!$E$9*T15)))*B15," ")</f>
        <v> </v>
      </c>
      <c r="Z15" s="130"/>
      <c r="AA15" s="131">
        <f>IF(Z15="X",'DATI (2)'!$E$5*P15*L15,"")</f>
      </c>
      <c r="AB15" s="132">
        <f>IF(G15="X",-SUM(U15:Y15)*'DATI (2)'!$E$15,"")</f>
      </c>
      <c r="AC15" s="133">
        <f>SUM(U15:AB15)</f>
        <v>0</v>
      </c>
      <c r="AD15" s="71"/>
      <c r="AE15" s="71"/>
      <c r="AF15" s="151"/>
      <c r="AG15" s="151"/>
      <c r="AH15" s="151"/>
      <c r="AI15" s="151"/>
      <c r="AJ15" s="151"/>
      <c r="AK15" s="151"/>
      <c r="AL15" s="151"/>
      <c r="AM15" s="71"/>
      <c r="AN15" s="71"/>
      <c r="AO15" s="71"/>
      <c r="AP15" s="71"/>
    </row>
    <row r="16" spans="1:42" ht="19.5" customHeight="1">
      <c r="A16" s="113"/>
      <c r="B16" s="90">
        <v>1</v>
      </c>
      <c r="C16" s="91" t="s">
        <v>68</v>
      </c>
      <c r="D16" s="134"/>
      <c r="E16" s="135"/>
      <c r="F16" s="136"/>
      <c r="G16" s="137"/>
      <c r="H16" s="118"/>
      <c r="I16" s="119"/>
      <c r="J16" s="139"/>
      <c r="K16" s="140"/>
      <c r="L16" s="140"/>
      <c r="M16" s="140"/>
      <c r="N16" s="141"/>
      <c r="O16" s="142"/>
      <c r="P16" s="146"/>
      <c r="Q16" s="149"/>
      <c r="R16" s="149"/>
      <c r="S16" s="124"/>
      <c r="T16" s="150"/>
      <c r="U16" s="144" t="str">
        <f>IF($A$5&gt;0," ",IF(AND(N16="A",F16&gt;0),(9687.52)*F16,IF(AND($A$5=0,C16="S",N16="A",F16=1),9687.52," ")))</f>
        <v> </v>
      </c>
      <c r="V16" s="128" t="str">
        <f>IF(AND(N16="A",F16&gt;=0,C16="s",$A$5&gt;0),9687.52*F16+114.01*Q16," ")</f>
        <v> </v>
      </c>
      <c r="W16" s="145" t="str">
        <f>IF(AND(OR(N16="B",N16="C"),$A$5=0,$C$5="N"),116.25*Q16+'DATI (2)'!$E$4*Q16,IF(AND(OR(N16="B",N16="C"),$A$5=0,$C$5="S"),114.01*Q16+'DATI (2)'!$E$4*Q16," "))</f>
        <v> </v>
      </c>
      <c r="X16" s="128" t="str">
        <f>IF(AND(OR(N16="B",N16="C"),C16="s",$A$5&gt;0),114.01*1.3*Q16+1.3*'DATI (2)'!$E$4*Q16," ")</f>
        <v> </v>
      </c>
      <c r="Y16" s="128" t="str">
        <f>IF(N16="E",IF(M16=1,'DATI (2)'!$E$7*T16,IF(M16=2,'DATI (2)'!$E$8*T16,IF(M16=3,'DATI (2)'!$E$9*T16)))*B16," ")</f>
        <v> </v>
      </c>
      <c r="Z16" s="130"/>
      <c r="AA16" s="131">
        <f>IF(Z16="X",'DATI (2)'!$E$5*P16*L16,"")</f>
      </c>
      <c r="AB16" s="132">
        <f>IF(G16="X",-SUM(U16:Y16)*'DATI (2)'!$E$15,"")</f>
      </c>
      <c r="AC16" s="133">
        <f>SUM(U16:AB16)</f>
        <v>0</v>
      </c>
      <c r="AD16" s="71"/>
      <c r="AE16" s="71"/>
      <c r="AF16" s="151"/>
      <c r="AG16" s="151"/>
      <c r="AH16" s="151"/>
      <c r="AI16" s="151"/>
      <c r="AJ16" s="151"/>
      <c r="AK16" s="151"/>
      <c r="AL16" s="151"/>
      <c r="AM16" s="71"/>
      <c r="AN16" s="71"/>
      <c r="AO16" s="71"/>
      <c r="AP16" s="71"/>
    </row>
    <row r="17" spans="1:42" ht="19.5" customHeight="1">
      <c r="A17" s="113"/>
      <c r="B17" s="113"/>
      <c r="C17" s="91"/>
      <c r="D17" s="152"/>
      <c r="E17" s="153"/>
      <c r="F17" s="136"/>
      <c r="G17" s="154"/>
      <c r="H17" s="155"/>
      <c r="I17" s="156"/>
      <c r="J17" s="140"/>
      <c r="K17" s="140"/>
      <c r="L17" s="140"/>
      <c r="M17" s="140"/>
      <c r="N17" s="141"/>
      <c r="O17" s="157"/>
      <c r="P17" s="146"/>
      <c r="Q17" s="149"/>
      <c r="R17" s="149"/>
      <c r="S17" s="143"/>
      <c r="T17" s="150"/>
      <c r="U17" s="144" t="str">
        <f>IF($A$5&gt;0," ",IF(AND(N17="A",F17&gt;0),(9687.52)*F17,IF(AND($A$5=0,C17="S",N17="A",F17=1),9687.52," ")))</f>
        <v> </v>
      </c>
      <c r="V17" s="128" t="str">
        <f>IF(AND(N17="A",F17&gt;=0,C17="s",$A$5&gt;0),9687.52*F17+114.01*Q17," ")</f>
        <v> </v>
      </c>
      <c r="W17" s="145" t="str">
        <f>IF(AND(OR(N17="B",N17="C"),$A$5=0,$C$5="N"),116.25*Q17+'DATI (2)'!$E$4*Q17,IF(AND(OR(N17="B",N17="C"),$A$5=0,$C$5="S"),114.01*Q17+'DATI (2)'!$E$4*Q17," "))</f>
        <v> </v>
      </c>
      <c r="X17" s="128" t="str">
        <f>IF(AND(OR(N17="B",N17="C"),C17="s",$A$5&gt;0),114.01*1.3*Q17+1.3*'DATI (2)'!$E$4*Q17," ")</f>
        <v> </v>
      </c>
      <c r="Y17" s="128" t="str">
        <f>IF(N17="E",IF(M17=1,'DATI (2)'!$E$7*T17,IF(M17=2,'DATI (2)'!$E$8*T17,IF(M17=3,'DATI (2)'!$E$9*T17)))*B17," ")</f>
        <v> </v>
      </c>
      <c r="Z17" s="130"/>
      <c r="AA17" s="131">
        <f>IF(Z17="X",'DATI (2)'!$E$5*P17*L17,"")</f>
      </c>
      <c r="AB17" s="132">
        <f>IF(G17="X",-SUM(U17:Y17)*'DATI (2)'!$E$15,"")</f>
      </c>
      <c r="AC17" s="133">
        <f>SUM(U17:AB17)</f>
        <v>0</v>
      </c>
      <c r="AD17" s="71"/>
      <c r="AE17" s="71"/>
      <c r="AF17" s="151"/>
      <c r="AG17" s="151"/>
      <c r="AH17" s="151"/>
      <c r="AI17" s="151"/>
      <c r="AJ17" s="151"/>
      <c r="AK17" s="151"/>
      <c r="AL17" s="151"/>
      <c r="AM17" s="71"/>
      <c r="AN17" s="71"/>
      <c r="AO17" s="71"/>
      <c r="AP17" s="71"/>
    </row>
    <row r="18" spans="1:42" ht="19.5" customHeight="1">
      <c r="A18" s="113"/>
      <c r="B18" s="113"/>
      <c r="C18" s="91"/>
      <c r="D18" s="152"/>
      <c r="E18" s="156"/>
      <c r="F18" s="136"/>
      <c r="G18" s="154"/>
      <c r="H18" s="155"/>
      <c r="I18" s="156"/>
      <c r="J18" s="140"/>
      <c r="K18" s="140"/>
      <c r="L18" s="140"/>
      <c r="M18" s="140"/>
      <c r="N18" s="141"/>
      <c r="O18" s="158"/>
      <c r="P18" s="146"/>
      <c r="Q18" s="149"/>
      <c r="R18" s="149"/>
      <c r="S18" s="143"/>
      <c r="T18" s="150"/>
      <c r="U18" s="144" t="str">
        <f>IF($A$5&gt;0," ",IF(AND(N18="A",F18&gt;0),(9687.52)*F18,IF(AND($A$5=0,C18="S",N18="A",F18=1),9687.52," ")))</f>
        <v> </v>
      </c>
      <c r="V18" s="128" t="str">
        <f>IF(AND(N18="A",F18&gt;=0,C18="s",$A$5&gt;0),9687.52*F18+114.01*Q18," ")</f>
        <v> </v>
      </c>
      <c r="W18" s="145" t="str">
        <f>IF(AND(OR(N18="B",N18="C"),$A$5=0,$C$5="N"),116.25*Q18+'DATI (2)'!$E$4*Q18,IF(AND(OR(N18="B",N18="C"),$A$5=0,$C$5="S"),114.01*Q18+'DATI (2)'!$E$4*Q18," "))</f>
        <v> </v>
      </c>
      <c r="X18" s="128" t="str">
        <f>IF(AND(OR(N18="B",N18="C"),C18="s",$A$5&gt;0),114.01*1.3*Q18+1.3*'DATI (2)'!$E$4*Q18," ")</f>
        <v> </v>
      </c>
      <c r="Y18" s="128" t="str">
        <f>IF(N18="E",IF(M18=1,'DATI (2)'!$E$7*T18,IF(M18=2,'DATI (2)'!$E$8*T18,IF(M18=3,'DATI (2)'!$E$9*T18)))*B18," ")</f>
        <v> </v>
      </c>
      <c r="Z18" s="130"/>
      <c r="AA18" s="131">
        <f>IF(Z18="X",'DATI (2)'!$E$5*P18*L18,"")</f>
      </c>
      <c r="AB18" s="132">
        <f>IF(G18="X",-SUM(U18:Y18)*'DATI (2)'!$E$15,"")</f>
      </c>
      <c r="AC18" s="133">
        <f>SUM(U18:AB18)</f>
        <v>0</v>
      </c>
      <c r="AD18" s="71"/>
      <c r="AE18" s="71"/>
      <c r="AF18" s="151"/>
      <c r="AG18" s="151"/>
      <c r="AH18" s="159"/>
      <c r="AI18" s="151"/>
      <c r="AJ18" s="151"/>
      <c r="AK18" s="151"/>
      <c r="AL18" s="151"/>
      <c r="AM18" s="71"/>
      <c r="AN18" s="71"/>
      <c r="AO18" s="71"/>
      <c r="AP18" s="71"/>
    </row>
    <row r="19" spans="1:43" ht="19.5" customHeight="1">
      <c r="A19" s="113"/>
      <c r="B19" s="113"/>
      <c r="C19" s="91"/>
      <c r="D19" s="160"/>
      <c r="E19" s="161"/>
      <c r="F19" s="162"/>
      <c r="G19" s="163"/>
      <c r="H19" s="163"/>
      <c r="I19" s="161"/>
      <c r="J19" s="164"/>
      <c r="K19" s="164"/>
      <c r="L19" s="164"/>
      <c r="M19" s="164"/>
      <c r="N19" s="165"/>
      <c r="O19" s="166"/>
      <c r="P19" s="167"/>
      <c r="Q19" s="168">
        <f>IF(P19&gt;0,(P19*K19),"")</f>
      </c>
      <c r="R19" s="168"/>
      <c r="S19" s="167"/>
      <c r="T19" s="169">
        <f>IF(OR(R19&gt;0,S19&gt;0),(R19+S19*0.6)*DATI!$E$14,"")</f>
      </c>
      <c r="U19" s="170" t="str">
        <f>IF($A$5&gt;0," ",IF(AND(N19="A",F19&gt;0),(9687.52)*F19,IF(AND($A$5=0,C19="S",N19="A",F19=1),9687.52," ")))</f>
        <v> </v>
      </c>
      <c r="V19" s="171" t="str">
        <f>IF(AND(N19="A",F19&gt;=0,C19="s",$A$5&gt;0),9687.52*F19+114.01*Q19," ")</f>
        <v> </v>
      </c>
      <c r="W19" s="172" t="str">
        <f>IF(AND(OR(N19="B",N19="C"),$A$5=0,$C$5="N"),116.25*Q19+'DATI (2)'!$E$4*Q19,IF(AND(OR(N19="B",N19="C"),$A$5=0,$C$5="S"),114.01*Q19+'DATI (2)'!$E$4*Q19," "))</f>
        <v> </v>
      </c>
      <c r="X19" s="171" t="str">
        <f>IF(AND(OR(N19="B",N19="C"),C19="s",$A$5&gt;0),114.01*1.3*Q19+1.3*'DATI (2)'!$E$4*Q19," ")</f>
        <v> </v>
      </c>
      <c r="Y19" s="171" t="str">
        <f>IF(N19="E",IF(M19=1,'DATI (2)'!$E$7*T19,IF(M19=2,'DATI (2)'!$E$8*T19,IF(M19=3,'DATI (2)'!$E$9*T19)))*B19," ")</f>
        <v> </v>
      </c>
      <c r="Z19" s="173"/>
      <c r="AA19" s="174">
        <f>IF(Z19="X",'DATI (2)'!$E$5*P19*L19,"")</f>
      </c>
      <c r="AB19" s="175">
        <f>IF(G19="X",-SUM(U19:Y19)*'DATI (2)'!$E$15,"")</f>
      </c>
      <c r="AC19" s="176">
        <f>SUM(U19:AB19)</f>
        <v>0</v>
      </c>
      <c r="AD19" s="71"/>
      <c r="AE19" s="71"/>
      <c r="AF19" s="151"/>
      <c r="AG19" s="151"/>
      <c r="AH19" s="151"/>
      <c r="AI19" s="151"/>
      <c r="AJ19" s="151"/>
      <c r="AN19" s="69"/>
      <c r="AO19" s="177"/>
      <c r="AP19" s="69"/>
      <c r="AQ19" s="69"/>
    </row>
    <row r="20" spans="1:43" ht="26.25" customHeight="1">
      <c r="A20" s="113"/>
      <c r="B20" s="113"/>
      <c r="C20" s="91"/>
      <c r="D20" s="178"/>
      <c r="E20" s="179"/>
      <c r="F20" s="179"/>
      <c r="G20" s="179"/>
      <c r="H20" s="179"/>
      <c r="I20" s="179"/>
      <c r="J20" s="179" t="s">
        <v>78</v>
      </c>
      <c r="K20" s="179"/>
      <c r="L20" s="179"/>
      <c r="M20" s="179"/>
      <c r="N20" s="179"/>
      <c r="O20" s="179"/>
      <c r="P20" s="180">
        <f>SUM(P5:P19)</f>
        <v>160</v>
      </c>
      <c r="Q20" s="180">
        <f>SUM(Q5:Q19)</f>
        <v>450.4</v>
      </c>
      <c r="R20" s="179" t="s">
        <v>79</v>
      </c>
      <c r="S20" s="179"/>
      <c r="T20" s="180">
        <f>SUM(T5:T19)</f>
        <v>382.84</v>
      </c>
      <c r="U20" s="181">
        <f>SUM(U5:U19)</f>
        <v>0</v>
      </c>
      <c r="V20" s="181">
        <f>SUM(V5:V19)</f>
        <v>0</v>
      </c>
      <c r="W20" s="181">
        <f>SUM(W5:W19)</f>
        <v>0</v>
      </c>
      <c r="X20" s="181">
        <f>SUM(X5:X19)</f>
        <v>0</v>
      </c>
      <c r="Y20" s="181">
        <f>SUM(Y5:Y19)</f>
        <v>488748.8576</v>
      </c>
      <c r="Z20" s="181"/>
      <c r="AA20" s="181">
        <f>SUM(AA5:AA19)</f>
        <v>0</v>
      </c>
      <c r="AB20" s="182">
        <f>SUM(AB5:AB19)</f>
        <v>0</v>
      </c>
      <c r="AC20" s="183">
        <f>SUM(AC5:AC19)</f>
        <v>488748.8576</v>
      </c>
      <c r="AD20" s="71"/>
      <c r="AE20" s="71"/>
      <c r="AF20" s="151"/>
      <c r="AG20" s="151"/>
      <c r="AH20" s="151"/>
      <c r="AI20" s="151"/>
      <c r="AJ20" s="151"/>
      <c r="AN20" s="69"/>
      <c r="AO20" s="177"/>
      <c r="AP20" s="69"/>
      <c r="AQ20" s="69"/>
    </row>
    <row r="21" spans="4:43" ht="29.25" customHeight="1">
      <c r="D21" s="184"/>
      <c r="E21" s="185"/>
      <c r="F21" s="185"/>
      <c r="G21" s="186"/>
      <c r="H21" s="187" t="s">
        <v>80</v>
      </c>
      <c r="I21" s="188"/>
      <c r="J21" s="189"/>
      <c r="K21" s="189"/>
      <c r="L21" s="188"/>
      <c r="M21" s="188"/>
      <c r="N21" s="190">
        <f>AN42/Q20</f>
        <v>1</v>
      </c>
      <c r="O21" s="185"/>
      <c r="P21" s="187" t="s">
        <v>81</v>
      </c>
      <c r="Q21" s="191"/>
      <c r="R21" s="192"/>
      <c r="S21" s="192"/>
      <c r="T21" s="190">
        <f>(Q20-AN41-AK45)/Q20</f>
        <v>0</v>
      </c>
      <c r="U21" s="193"/>
      <c r="V21" s="187" t="s">
        <v>82</v>
      </c>
      <c r="W21" s="189"/>
      <c r="X21" s="194"/>
      <c r="Y21" s="190">
        <f>SUM(S5:S19)/DATI!$E$14/Q20</f>
        <v>0</v>
      </c>
      <c r="Z21" s="193"/>
      <c r="AA21" s="193"/>
      <c r="AB21" s="193"/>
      <c r="AC21" s="195"/>
      <c r="AD21" s="196"/>
      <c r="AE21" s="196"/>
      <c r="AF21" s="197"/>
      <c r="AG21" s="197"/>
      <c r="AH21" s="197"/>
      <c r="AI21" s="197"/>
      <c r="AJ21" s="197"/>
      <c r="AN21" s="69"/>
      <c r="AO21" s="177"/>
      <c r="AP21" s="198"/>
      <c r="AQ21" s="69"/>
    </row>
    <row r="22" spans="1:42" ht="19.5" customHeight="1">
      <c r="A22" s="113"/>
      <c r="B22" s="113"/>
      <c r="P22" s="68"/>
      <c r="Q22" s="68"/>
      <c r="R22" s="68"/>
      <c r="S22" s="68"/>
      <c r="AF22" s="151"/>
      <c r="AG22" s="151"/>
      <c r="AH22" s="151"/>
      <c r="AI22" s="151"/>
      <c r="AJ22" s="151"/>
      <c r="AK22" s="151"/>
      <c r="AL22" s="151"/>
      <c r="AM22" s="71"/>
      <c r="AN22" s="71"/>
      <c r="AO22" s="71"/>
      <c r="AP22" s="71"/>
    </row>
    <row r="23" spans="1:42" ht="19.5" customHeight="1">
      <c r="A23" s="113"/>
      <c r="B23" s="113"/>
      <c r="AF23" s="151"/>
      <c r="AG23" s="151"/>
      <c r="AH23" s="151"/>
      <c r="AI23" s="151"/>
      <c r="AJ23" s="151"/>
      <c r="AK23" s="151"/>
      <c r="AL23" s="151"/>
      <c r="AM23" s="71"/>
      <c r="AN23" s="71"/>
      <c r="AO23" s="71"/>
      <c r="AP23" s="71"/>
    </row>
    <row r="24" spans="1:67" ht="28.5" customHeight="1">
      <c r="A24" s="113"/>
      <c r="B24" s="113"/>
      <c r="D24" s="199" t="s">
        <v>83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 t="s">
        <v>84</v>
      </c>
      <c r="Z24" s="199"/>
      <c r="AA24" s="199"/>
      <c r="AB24" s="199"/>
      <c r="AC24" s="199"/>
      <c r="AF24" s="151"/>
      <c r="AG24" s="151"/>
      <c r="AH24" s="200" t="s">
        <v>85</v>
      </c>
      <c r="AI24" s="201" t="s">
        <v>86</v>
      </c>
      <c r="AJ24" s="201"/>
      <c r="AK24" s="201"/>
      <c r="AL24" s="202" t="s">
        <v>87</v>
      </c>
      <c r="AM24" s="202"/>
      <c r="AQ24" s="203" t="s">
        <v>85</v>
      </c>
      <c r="AR24" s="203"/>
      <c r="AS24" s="203" t="s">
        <v>88</v>
      </c>
      <c r="AT24" s="203"/>
      <c r="AV24" s="204" t="s">
        <v>89</v>
      </c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</row>
    <row r="25" spans="4:75" ht="75" customHeight="1">
      <c r="D25" s="205" t="s">
        <v>43</v>
      </c>
      <c r="E25" s="206" t="s">
        <v>45</v>
      </c>
      <c r="F25" s="207" t="s">
        <v>90</v>
      </c>
      <c r="G25" s="208" t="s">
        <v>91</v>
      </c>
      <c r="H25" s="209" t="s">
        <v>67</v>
      </c>
      <c r="I25" s="209"/>
      <c r="J25" s="209"/>
      <c r="K25" s="210" t="s">
        <v>92</v>
      </c>
      <c r="L25" s="210"/>
      <c r="M25" s="211" t="s">
        <v>93</v>
      </c>
      <c r="N25" s="211"/>
      <c r="O25" s="212" t="s">
        <v>94</v>
      </c>
      <c r="P25" s="210" t="s">
        <v>95</v>
      </c>
      <c r="Q25" s="213" t="s">
        <v>96</v>
      </c>
      <c r="R25" s="214" t="s">
        <v>97</v>
      </c>
      <c r="S25" s="215" t="s">
        <v>98</v>
      </c>
      <c r="T25" s="212" t="s">
        <v>99</v>
      </c>
      <c r="U25" s="216" t="s">
        <v>100</v>
      </c>
      <c r="V25" s="215" t="s">
        <v>101</v>
      </c>
      <c r="W25" s="212" t="s">
        <v>102</v>
      </c>
      <c r="X25" s="216" t="s">
        <v>103</v>
      </c>
      <c r="Y25" s="211" t="s">
        <v>104</v>
      </c>
      <c r="Z25" s="217" t="s">
        <v>105</v>
      </c>
      <c r="AA25" s="217"/>
      <c r="AB25" s="218" t="s">
        <v>106</v>
      </c>
      <c r="AC25" s="218"/>
      <c r="AF25" s="151"/>
      <c r="AG25" s="151"/>
      <c r="AH25" s="219" t="s">
        <v>77</v>
      </c>
      <c r="AI25" s="219" t="s">
        <v>77</v>
      </c>
      <c r="AJ25" s="219" t="s">
        <v>107</v>
      </c>
      <c r="AK25" s="219" t="s">
        <v>72</v>
      </c>
      <c r="AL25" s="219" t="s">
        <v>72</v>
      </c>
      <c r="AM25" s="219" t="s">
        <v>72</v>
      </c>
      <c r="AN25" s="219" t="s">
        <v>108</v>
      </c>
      <c r="AQ25" s="220" t="s">
        <v>109</v>
      </c>
      <c r="AR25" s="220" t="s">
        <v>110</v>
      </c>
      <c r="AS25" s="221" t="s">
        <v>71</v>
      </c>
      <c r="AT25" s="221" t="s">
        <v>75</v>
      </c>
      <c r="AV25" s="220" t="s">
        <v>111</v>
      </c>
      <c r="AW25" s="220"/>
      <c r="AX25" s="220" t="s">
        <v>112</v>
      </c>
      <c r="AY25" s="220"/>
      <c r="AZ25" s="220" t="s">
        <v>110</v>
      </c>
      <c r="BA25" s="220"/>
      <c r="BC25" s="220" t="s">
        <v>113</v>
      </c>
      <c r="BD25" s="220"/>
      <c r="BE25" s="220" t="s">
        <v>114</v>
      </c>
      <c r="BF25" s="220"/>
      <c r="BG25" s="220" t="s">
        <v>115</v>
      </c>
      <c r="BH25" s="220"/>
      <c r="BJ25" s="220" t="s">
        <v>116</v>
      </c>
      <c r="BK25" s="220"/>
      <c r="BL25" s="220" t="s">
        <v>117</v>
      </c>
      <c r="BM25" s="220"/>
      <c r="BN25" s="220" t="s">
        <v>118</v>
      </c>
      <c r="BQ25" s="68" t="s">
        <v>119</v>
      </c>
      <c r="BR25" s="68" t="s">
        <v>120</v>
      </c>
      <c r="BS25" s="68" t="s">
        <v>121</v>
      </c>
      <c r="BT25" s="68" t="s">
        <v>122</v>
      </c>
      <c r="BU25" s="68" t="s">
        <v>123</v>
      </c>
      <c r="BW25" s="222" t="s">
        <v>124</v>
      </c>
    </row>
    <row r="26" spans="4:75" ht="19.5" customHeight="1">
      <c r="D26" s="223">
        <f>D5</f>
        <v>39</v>
      </c>
      <c r="E26" s="224">
        <f>F5</f>
        <v>1</v>
      </c>
      <c r="F26" s="225" t="str">
        <f>N5</f>
        <v>E</v>
      </c>
      <c r="G26" s="226">
        <f>Q5</f>
        <v>192.4</v>
      </c>
      <c r="H26" s="227">
        <f>AC5</f>
        <v>208781.70560000002</v>
      </c>
      <c r="I26" s="227"/>
      <c r="J26" s="227"/>
      <c r="K26" s="228">
        <f>(H26)*0.1</f>
        <v>20878.170560000002</v>
      </c>
      <c r="L26" s="228"/>
      <c r="M26" s="229">
        <f>IF($C$5="s",IF(SUM($H$41)&lt;=1000000,SUM(H26)*0.02,SUM(H26)*0.01),0)</f>
        <v>4175.634112000001</v>
      </c>
      <c r="N26" s="229"/>
      <c r="O26" s="230">
        <f>(M26*(0.04))</f>
        <v>167.02536448000004</v>
      </c>
      <c r="P26" s="231">
        <f>(M26+O26)*0.22</f>
        <v>955.3850848256003</v>
      </c>
      <c r="Q26" s="232">
        <f>IF(F26="E",G26*12,0)</f>
        <v>2308.8</v>
      </c>
      <c r="R26" s="233">
        <f>BW26*0.22</f>
        <v>507.93600000000004</v>
      </c>
      <c r="S26" s="234">
        <f>IF(F26="E",H26*1.5%,0)</f>
        <v>3131.7255840000003</v>
      </c>
      <c r="T26" s="235">
        <f>S26*0.02</f>
        <v>62.63451168000001</v>
      </c>
      <c r="U26" s="236">
        <f>(S26+T26)*0.22</f>
        <v>702.7592210496</v>
      </c>
      <c r="V26" s="232">
        <f>H26*0.15</f>
        <v>31317.25584</v>
      </c>
      <c r="W26" s="230">
        <f>V26*0.04</f>
        <v>1252.6902336</v>
      </c>
      <c r="X26" s="237">
        <f>0.22*(W26+V26)</f>
        <v>7165.388136192</v>
      </c>
      <c r="Y26" s="238">
        <f>SUM(K26:X26)-Q26+BW26</f>
        <v>72625.4046478272</v>
      </c>
      <c r="Z26" s="239">
        <f>Y26+H26</f>
        <v>281407.11024782725</v>
      </c>
      <c r="AA26" s="239"/>
      <c r="AB26" s="240">
        <f>SUM(Z26:AA40)</f>
        <v>658761.7591248513</v>
      </c>
      <c r="AC26" s="240"/>
      <c r="AF26" s="151"/>
      <c r="AG26" s="151"/>
      <c r="AH26" s="241">
        <f>IF($N5="E",$T5,0)</f>
        <v>163.54</v>
      </c>
      <c r="AI26" s="241">
        <f>IF(OR($F26="E",$F26="E"),$G26,0)</f>
        <v>192.4</v>
      </c>
      <c r="AJ26" s="241">
        <f>IF(OR($F26="B",$F26="C"),$G26,0)</f>
        <v>0</v>
      </c>
      <c r="AK26" s="241">
        <f>IF($F26="A",$G26,0)</f>
        <v>0</v>
      </c>
      <c r="AL26" s="241">
        <f>IF($N5="A",$F5,0)</f>
        <v>0</v>
      </c>
      <c r="AM26" s="241">
        <f>IF(AND($F26="A",$F5&gt;0),$G26,0)</f>
        <v>0</v>
      </c>
      <c r="AN26" s="241">
        <f>IF($F5&gt;0,$G26,0)</f>
        <v>192.4</v>
      </c>
      <c r="AQ26" s="242">
        <f>IF($N5="E",$R5/'DATI (2)'!$E$13,0)</f>
        <v>192.4</v>
      </c>
      <c r="AR26" s="242">
        <f>IF($N5="E",$S5/'DATI (2)'!$E$14,0)</f>
        <v>0</v>
      </c>
      <c r="AS26" s="243">
        <f>($R5)/'DATI (2)'!$E$13</f>
        <v>192.4</v>
      </c>
      <c r="AT26" s="243">
        <f>$S5/'DATI (2)'!$E$14</f>
        <v>0</v>
      </c>
      <c r="AV26" s="242">
        <f>IF(AND($F26="E",$F5&gt;0),$R5/'DATI (2)'!$E$13,0)</f>
        <v>192.4</v>
      </c>
      <c r="AW26" s="244">
        <f>IF(AND($F26="E",$F5&gt;0),$Z26,0)</f>
        <v>281407.11024782725</v>
      </c>
      <c r="AX26" s="242">
        <f>IF(AND($F26="E",$F5=0),$R5/'DATI (2)'!$E$13,0)</f>
        <v>0</v>
      </c>
      <c r="AY26" s="244">
        <f>IF(AND($F26="E",$F5=0,R5&gt;0),$Z26*$BT26,0)</f>
        <v>0</v>
      </c>
      <c r="AZ26" s="242">
        <f>IF(AND($F26="E"),$S5/'DATI (2)'!$E$13,0)</f>
        <v>0</v>
      </c>
      <c r="BA26" s="244">
        <f>IF(AND($F26="E",$S5&gt;0),$Z26*$BU26,0)</f>
        <v>0</v>
      </c>
      <c r="BC26" s="242">
        <f>IF(AND(OR($F26="B",$F26="C"),$F5&gt;0),$R5/'DATI (2)'!$E$13,0)</f>
        <v>0</v>
      </c>
      <c r="BD26" s="244">
        <f>IF(AND(AND(OR($F26="B",$F26="C")),$F5&gt;0),$Z26,0)</f>
        <v>0</v>
      </c>
      <c r="BE26" s="242">
        <f>IF(AND(OR($F26="B",$F26="C"),$F5=0),$R5/'DATI (2)'!$E$13,0)</f>
        <v>0</v>
      </c>
      <c r="BF26" s="244">
        <f>IF(AND((OR($F26="B",$F26="C")),$F5=0,R5&gt;0),$Z26*$BT26,0)</f>
        <v>0</v>
      </c>
      <c r="BG26" s="242">
        <f>IF(AND(OR($F26="B",$F26="C")),$S5/'DATI (2)'!$E$13,0)</f>
        <v>0</v>
      </c>
      <c r="BH26" s="244">
        <f>IF(AND((OR($F26="B",$F26="C")),$S5&gt;0),$Z26*$BU26,0)</f>
        <v>0</v>
      </c>
      <c r="BJ26" s="242">
        <f>IF(AND($F26="A",$F5&gt;0),$R5/'DATI (2)'!$E$13,0)</f>
        <v>0</v>
      </c>
      <c r="BK26" s="244">
        <f>IF(AND($F26="a",$F5&gt;0),$Z26,0)</f>
        <v>0</v>
      </c>
      <c r="BL26" s="242">
        <f>IF(AND($F26="A",$F5=0),$R5/'DATI (2)'!$E$13,0)</f>
        <v>0</v>
      </c>
      <c r="BM26" s="244">
        <f>IF(AND($F26="a",$F5=0,R5&gt;0),$Z26*$BT26,0)</f>
        <v>0</v>
      </c>
      <c r="BN26" s="242">
        <f>IF(AND($F26="A"),$S5/'DATI (2)'!$E$13,0)</f>
        <v>0</v>
      </c>
      <c r="BO26" s="244">
        <f>IF(AND($F26="a",$S5&gt;0),$Z26*$BU26,0)</f>
        <v>0</v>
      </c>
      <c r="BQ26" s="245">
        <f>Q5</f>
        <v>192.4</v>
      </c>
      <c r="BR26" s="245">
        <f>R5/'DATI (2)'!$E$13</f>
        <v>192.4</v>
      </c>
      <c r="BS26" s="245">
        <f>S5/'DATI (2)'!$E$14</f>
        <v>0</v>
      </c>
      <c r="BT26" s="245">
        <f>BR26/BQ26</f>
        <v>1</v>
      </c>
      <c r="BU26" s="245">
        <f>BS26/BQ26</f>
        <v>0</v>
      </c>
      <c r="BW26" s="68">
        <f>IF(F26="E",$Q$41*G26/$AI$41,0)</f>
        <v>2308.8</v>
      </c>
    </row>
    <row r="27" spans="4:75" ht="19.5" customHeight="1">
      <c r="D27" s="246">
        <f>D6</f>
        <v>65</v>
      </c>
      <c r="E27" s="247">
        <f>F6</f>
        <v>1</v>
      </c>
      <c r="F27" s="248" t="str">
        <f>N6</f>
        <v>E</v>
      </c>
      <c r="G27" s="249">
        <f>Q6</f>
        <v>258</v>
      </c>
      <c r="H27" s="250">
        <f>AC6</f>
        <v>279967.152</v>
      </c>
      <c r="I27" s="250"/>
      <c r="J27" s="250"/>
      <c r="K27" s="251">
        <f>(H27)*0.1</f>
        <v>27996.715200000002</v>
      </c>
      <c r="L27" s="251"/>
      <c r="M27" s="252">
        <f>IF($C$5="s",IF(SUM($H$41)&lt;=1000000,SUM(H27)*0.02,SUM(H27)*0.01),0)</f>
        <v>5599.34304</v>
      </c>
      <c r="N27" s="252"/>
      <c r="O27" s="253">
        <f>(M27*(0.04))</f>
        <v>223.9737216</v>
      </c>
      <c r="P27" s="254">
        <f>(M27+O27)*0.22</f>
        <v>1281.129687552</v>
      </c>
      <c r="Q27" s="255">
        <f>IF(F27="E",G27*12,0)</f>
        <v>3096</v>
      </c>
      <c r="R27" s="256">
        <f>BW27*0.22</f>
        <v>681.1200000000001</v>
      </c>
      <c r="S27" s="257">
        <f>IF(F27="E",H27*1.5%,0)</f>
        <v>4199.50728</v>
      </c>
      <c r="T27" s="258">
        <f>S27*0.02</f>
        <v>83.99014559999999</v>
      </c>
      <c r="U27" s="259">
        <f>(S27+T27)*0.22</f>
        <v>942.3694336319999</v>
      </c>
      <c r="V27" s="255">
        <f>H27*0.15</f>
        <v>41995.0728</v>
      </c>
      <c r="W27" s="253">
        <f>V27*0.04</f>
        <v>1679.802912</v>
      </c>
      <c r="X27" s="260">
        <f>0.22*(W27+V27)</f>
        <v>9608.47265664</v>
      </c>
      <c r="Y27" s="261">
        <f>SUM(K27:X27)-Q27+BW27</f>
        <v>97387.49687702401</v>
      </c>
      <c r="Z27" s="262">
        <f>Y27+H27</f>
        <v>377354.648877024</v>
      </c>
      <c r="AA27" s="262"/>
      <c r="AB27" s="240"/>
      <c r="AC27" s="240"/>
      <c r="AF27" s="151"/>
      <c r="AG27" s="151"/>
      <c r="AH27" s="241">
        <f>IF($N6="E",$T6,0)</f>
        <v>219.29999999999998</v>
      </c>
      <c r="AI27" s="241">
        <f>IF(OR($F27="E",$F27="E"),$G27,0)</f>
        <v>258</v>
      </c>
      <c r="AJ27" s="241">
        <f>IF(OR($F27="B",$F27="C"),$G27,0)</f>
        <v>0</v>
      </c>
      <c r="AK27" s="241">
        <f>IF($F27="A",$G27,0)</f>
        <v>0</v>
      </c>
      <c r="AL27" s="241">
        <f>IF($N6="A",$F6,0)</f>
        <v>0</v>
      </c>
      <c r="AM27" s="241">
        <f>IF(AND($F27="A",$F6&gt;0),$G27,0)</f>
        <v>0</v>
      </c>
      <c r="AN27" s="241">
        <f>IF($F6&gt;0,$G27,0)</f>
        <v>258</v>
      </c>
      <c r="AQ27" s="242">
        <f>IF($N6="E",$R6/'DATI (2)'!$E$13,0)</f>
        <v>258</v>
      </c>
      <c r="AR27" s="242">
        <f>IF($N6="E",$S6/'DATI (2)'!$E$14,0)</f>
        <v>0</v>
      </c>
      <c r="AS27" s="243">
        <f>($R6)/'DATI (2)'!$E$13</f>
        <v>258</v>
      </c>
      <c r="AT27" s="243">
        <f>$S6/'DATI (2)'!$E$14</f>
        <v>0</v>
      </c>
      <c r="AV27" s="242">
        <f>IF(AND($F27="E",$F6&gt;0),$R6/'DATI (2)'!$E$13,0)</f>
        <v>258</v>
      </c>
      <c r="AW27" s="244">
        <f>IF(AND($F27="E",$F6&gt;0),$Z27,0)</f>
        <v>377354.648877024</v>
      </c>
      <c r="AX27" s="242">
        <f>IF(AND($F27="E",$F6=0),$R6/'DATI (2)'!$E$13,0)</f>
        <v>0</v>
      </c>
      <c r="AY27" s="244">
        <f>IF(AND($F27="E",$F6=0,R6&gt;0),$Z27*$BT27,0)</f>
        <v>0</v>
      </c>
      <c r="AZ27" s="242">
        <f>IF(AND($F27="E"),$S6/'DATI (2)'!$E$13,0)</f>
        <v>0</v>
      </c>
      <c r="BA27" s="244">
        <f>IF(AND($F27="E",$S6&gt;0),$Z27*$BU27,0)</f>
        <v>0</v>
      </c>
      <c r="BC27" s="242">
        <f>IF(AND(OR($F27="B",$F27="C"),$F6&gt;0),$R6/'DATI (2)'!$E$13,0)</f>
        <v>0</v>
      </c>
      <c r="BD27" s="244">
        <f>IF(AND(AND(OR($F27="B",$F27="C")),$F6&gt;0),$Z27,0)</f>
        <v>0</v>
      </c>
      <c r="BE27" s="242">
        <f>IF(AND(OR($F27="B",$F27="C"),$F6=0),$R6/'DATI (2)'!$E$13,0)</f>
        <v>0</v>
      </c>
      <c r="BF27" s="244">
        <f>IF(AND((OR($F27="B",$F27="C")),$F6=0,R6&gt;0),$Z27*$BT27,0)</f>
        <v>0</v>
      </c>
      <c r="BG27" s="242">
        <f>IF(AND(OR($F27="B",$F27="C")),$S6/'DATI (2)'!$E$13,0)</f>
        <v>0</v>
      </c>
      <c r="BH27" s="244">
        <f>IF(AND((OR($F27="B",$F27="C")),$S6&gt;0),$Z27*$BU27,0)</f>
        <v>0</v>
      </c>
      <c r="BJ27" s="242">
        <f>IF(AND($F27="A",$F6&gt;0),$R6/'DATI (2)'!$E$13,0)</f>
        <v>0</v>
      </c>
      <c r="BK27" s="244">
        <f>IF(AND($F27="a",$F6&gt;0),$Z27,0)</f>
        <v>0</v>
      </c>
      <c r="BL27" s="242">
        <f>IF(AND($F27="A",$F6=0),$R6/'DATI (2)'!$E$13,0)</f>
        <v>0</v>
      </c>
      <c r="BM27" s="244">
        <f>IF(AND($F27="a",$F6=0,R6&gt;0),$Z27*$BT27,0)</f>
        <v>0</v>
      </c>
      <c r="BN27" s="242">
        <f>IF(AND($F27="A"),$S6/'DATI (2)'!$E$13,0)</f>
        <v>0</v>
      </c>
      <c r="BO27" s="244">
        <f>IF(AND($F27="a",$S6&gt;0),$Z27*$BU27,0)</f>
        <v>0</v>
      </c>
      <c r="BQ27" s="245">
        <f>Q6</f>
        <v>258</v>
      </c>
      <c r="BR27" s="245">
        <f>R6/'DATI (2)'!$E$13</f>
        <v>258</v>
      </c>
      <c r="BS27" s="245">
        <f>S6/'DATI (2)'!$E$14</f>
        <v>0</v>
      </c>
      <c r="BT27" s="245">
        <f>BR27/BQ27</f>
        <v>1</v>
      </c>
      <c r="BU27" s="245">
        <f>BS27/BQ27</f>
        <v>0</v>
      </c>
      <c r="BW27" s="68">
        <f>IF(F27="E",$Q$41*G27/$AI$41,0)</f>
        <v>3096.0000000000005</v>
      </c>
    </row>
    <row r="28" spans="4:75" ht="19.5" customHeight="1">
      <c r="D28" s="246">
        <f>D7</f>
        <v>0</v>
      </c>
      <c r="E28" s="247">
        <f>F7</f>
        <v>0</v>
      </c>
      <c r="F28" s="248">
        <f>N7</f>
        <v>0</v>
      </c>
      <c r="G28" s="249">
        <f>Q7</f>
        <v>0</v>
      </c>
      <c r="H28" s="250">
        <f>AC7</f>
        <v>0</v>
      </c>
      <c r="I28" s="250"/>
      <c r="J28" s="250"/>
      <c r="K28" s="251">
        <f>(H28)*0.1</f>
        <v>0</v>
      </c>
      <c r="L28" s="251"/>
      <c r="M28" s="252">
        <f>IF($C$5="s",IF(SUM($H$41)&lt;=1000000,SUM(H28)*0.02,SUM(H28)*0.01),0)</f>
        <v>0</v>
      </c>
      <c r="N28" s="252"/>
      <c r="O28" s="253">
        <f>(M28*(0.04))</f>
        <v>0</v>
      </c>
      <c r="P28" s="254">
        <f>(M28+O28)*0.22</f>
        <v>0</v>
      </c>
      <c r="Q28" s="255">
        <f>IF(F28="E",G28*12,0)</f>
        <v>0</v>
      </c>
      <c r="R28" s="256">
        <f>BW28*0.22</f>
        <v>0</v>
      </c>
      <c r="S28" s="257">
        <f>IF(F28="E",H28*1.5%,0)</f>
        <v>0</v>
      </c>
      <c r="T28" s="258">
        <f>S28*0.02</f>
        <v>0</v>
      </c>
      <c r="U28" s="259">
        <f>(S28+T28)*0.22</f>
        <v>0</v>
      </c>
      <c r="V28" s="255">
        <f>H28*0.15</f>
        <v>0</v>
      </c>
      <c r="W28" s="253">
        <f>V28*0.04</f>
        <v>0</v>
      </c>
      <c r="X28" s="260">
        <f>0.22*(W28+V28)</f>
        <v>0</v>
      </c>
      <c r="Y28" s="261">
        <f>SUM(K28:X28)-Q28+BW28</f>
        <v>0</v>
      </c>
      <c r="Z28" s="262">
        <f>Y28+H28</f>
        <v>0</v>
      </c>
      <c r="AA28" s="262"/>
      <c r="AB28" s="240"/>
      <c r="AC28" s="240"/>
      <c r="AF28" s="151"/>
      <c r="AG28" s="151"/>
      <c r="AH28" s="241">
        <f>IF($N7="E",$T7,0)</f>
        <v>0</v>
      </c>
      <c r="AI28" s="241">
        <f>IF(OR($F28="E",$F28="E"),$G28,0)</f>
        <v>0</v>
      </c>
      <c r="AJ28" s="241">
        <f>IF(OR($F28="B",$F28="C"),$G28,0)</f>
        <v>0</v>
      </c>
      <c r="AK28" s="241">
        <f>IF($F28="A",$G28,0)</f>
        <v>0</v>
      </c>
      <c r="AL28" s="241">
        <f>IF($N7="A",$F7,0)</f>
        <v>0</v>
      </c>
      <c r="AM28" s="241">
        <f>IF(AND($F28="A",$F7&gt;0),$G28,0)</f>
        <v>0</v>
      </c>
      <c r="AN28" s="241">
        <f>IF($F7&gt;0,$G28,0)</f>
        <v>0</v>
      </c>
      <c r="AQ28" s="242">
        <f>IF($N7="E",$R7/'DATI (2)'!$E$13,0)</f>
        <v>0</v>
      </c>
      <c r="AR28" s="242">
        <f>IF($N7="E",$S7/'DATI (2)'!$E$14,0)</f>
        <v>0</v>
      </c>
      <c r="AS28" s="243">
        <f>($R7)/'DATI (2)'!$E$13</f>
        <v>0</v>
      </c>
      <c r="AT28" s="243">
        <f>$S7/'DATI (2)'!$E$14</f>
        <v>0</v>
      </c>
      <c r="AV28" s="242">
        <f>IF(AND($F28="E",$F7&gt;0),$R7/'DATI (2)'!$E$13,0)</f>
        <v>0</v>
      </c>
      <c r="AW28" s="244">
        <f>IF(AND($F28="E",$F7&gt;0),$Z28,0)</f>
        <v>0</v>
      </c>
      <c r="AX28" s="242">
        <f>IF(AND($F28="E",$F7=0),$R7/'DATI (2)'!$E$13,0)</f>
        <v>0</v>
      </c>
      <c r="AY28" s="244">
        <f>IF(AND($F28="E",$F7=0,R7&gt;0),$Z28*$BT28,0)</f>
        <v>0</v>
      </c>
      <c r="AZ28" s="242">
        <f>IF(AND($F28="E"),$S7/'DATI (2)'!$E$13,0)</f>
        <v>0</v>
      </c>
      <c r="BA28" s="244">
        <f>IF(AND($F28="E",$S7&gt;0),$Z28*$BU28,0)</f>
        <v>0</v>
      </c>
      <c r="BC28" s="242">
        <f>IF(AND(OR($F28="B",$F28="C"),$F7&gt;0),$R7/'DATI (2)'!$E$13,0)</f>
        <v>0</v>
      </c>
      <c r="BD28" s="244">
        <f>IF(AND(AND(OR($F28="B",$F28="C")),$F7&gt;0),$Z28,0)</f>
        <v>0</v>
      </c>
      <c r="BE28" s="242">
        <f>IF(AND(OR($F28="B",$F28="C"),$F7=0),$R7/'DATI (2)'!$E$13,0)</f>
        <v>0</v>
      </c>
      <c r="BF28" s="244">
        <f>IF(AND((OR($F28="B",$F28="C")),$F7=0,R7&gt;0),$Z28*$BT28,0)</f>
        <v>0</v>
      </c>
      <c r="BG28" s="242">
        <f>IF(AND(OR($F28="B",$F28="C")),$S7/'DATI (2)'!$E$13,0)</f>
        <v>0</v>
      </c>
      <c r="BH28" s="244">
        <f>IF(AND((OR($F28="B",$F28="C")),$S7&gt;0),$Z28*$BU28,0)</f>
        <v>0</v>
      </c>
      <c r="BJ28" s="242">
        <f>IF(AND($F28="A",$F7&gt;0),$R7/'DATI (2)'!$E$13,0)</f>
        <v>0</v>
      </c>
      <c r="BK28" s="244">
        <f>IF(AND($F28="a",$F7&gt;0),$Z28,0)</f>
        <v>0</v>
      </c>
      <c r="BL28" s="242">
        <f>IF(AND($F28="A",$F7=0),$R7/'DATI (2)'!$E$13,0)</f>
        <v>0</v>
      </c>
      <c r="BM28" s="244">
        <f>IF(AND($F28="a",$F7=0,R7&gt;0),$Z28*$BT28,0)</f>
        <v>0</v>
      </c>
      <c r="BN28" s="242">
        <f>IF(AND($F28="A"),$S7/'DATI (2)'!$E$13,0)</f>
        <v>0</v>
      </c>
      <c r="BO28" s="244">
        <f>IF(AND($F28="a",$S7&gt;0),$Z28*$BU28,0)</f>
        <v>0</v>
      </c>
      <c r="BQ28" s="245">
        <f>Q7</f>
        <v>0</v>
      </c>
      <c r="BR28" s="245">
        <f>R7/'DATI (2)'!$E$13</f>
        <v>0</v>
      </c>
      <c r="BS28" s="245">
        <f>S7/'DATI (2)'!$E$14</f>
        <v>0</v>
      </c>
      <c r="BT28" s="245" t="e">
        <f>BR28/BQ28</f>
        <v>#DIV/0!</v>
      </c>
      <c r="BU28" s="245" t="e">
        <f>BS28/BQ28</f>
        <v>#DIV/0!</v>
      </c>
      <c r="BW28" s="263">
        <f>IF(F28="E",$Q$41*G28/$AI$41,0)</f>
        <v>0</v>
      </c>
    </row>
    <row r="29" spans="4:75" ht="19.5" customHeight="1">
      <c r="D29" s="246">
        <f>D8</f>
        <v>0</v>
      </c>
      <c r="E29" s="247">
        <f>F8</f>
        <v>0</v>
      </c>
      <c r="F29" s="248">
        <f>N8</f>
        <v>0</v>
      </c>
      <c r="G29" s="249">
        <f>Q8</f>
        <v>0</v>
      </c>
      <c r="H29" s="250">
        <f>AC8</f>
        <v>0</v>
      </c>
      <c r="I29" s="250"/>
      <c r="J29" s="250"/>
      <c r="K29" s="251">
        <f>(H29)*0.1</f>
        <v>0</v>
      </c>
      <c r="L29" s="251"/>
      <c r="M29" s="252">
        <f>IF($C$5="s",IF(SUM($H$41)&lt;=1000000,SUM(H29)*0.02,SUM(H29)*0.01),0)</f>
        <v>0</v>
      </c>
      <c r="N29" s="252"/>
      <c r="O29" s="253">
        <f>(M29*(0.04))</f>
        <v>0</v>
      </c>
      <c r="P29" s="254">
        <f>(M29+O29)*0.22</f>
        <v>0</v>
      </c>
      <c r="Q29" s="255">
        <f>IF(F29="E",G29*12,0)</f>
        <v>0</v>
      </c>
      <c r="R29" s="256">
        <f>BW29*0.22</f>
        <v>0</v>
      </c>
      <c r="S29" s="257">
        <f>IF(F29="E",H29*1.5%,0)</f>
        <v>0</v>
      </c>
      <c r="T29" s="258">
        <f>S29*0.02</f>
        <v>0</v>
      </c>
      <c r="U29" s="259">
        <f>(S29+T29)*0.22</f>
        <v>0</v>
      </c>
      <c r="V29" s="255">
        <f>H29*0.15</f>
        <v>0</v>
      </c>
      <c r="W29" s="253">
        <f>V29*0.04</f>
        <v>0</v>
      </c>
      <c r="X29" s="260">
        <f>0.22*(W29+V29)</f>
        <v>0</v>
      </c>
      <c r="Y29" s="261">
        <f>SUM(K29:X29)-Q29+BW29</f>
        <v>0</v>
      </c>
      <c r="Z29" s="262">
        <f>Y29+H29</f>
        <v>0</v>
      </c>
      <c r="AA29" s="262"/>
      <c r="AB29" s="240"/>
      <c r="AC29" s="240"/>
      <c r="AF29" s="151"/>
      <c r="AG29" s="151"/>
      <c r="AH29" s="241">
        <f>IF($N8="E",$T8,0)</f>
        <v>0</v>
      </c>
      <c r="AI29" s="241">
        <f>IF(OR($F29="E",$F29="E"),$G29,0)</f>
        <v>0</v>
      </c>
      <c r="AJ29" s="241">
        <f>IF(OR($F29="B",$F29="C"),$G29,0)</f>
        <v>0</v>
      </c>
      <c r="AK29" s="241">
        <f>IF($F29="A",$G29,0)</f>
        <v>0</v>
      </c>
      <c r="AL29" s="241">
        <f>IF($N8="A",$F8,0)</f>
        <v>0</v>
      </c>
      <c r="AM29" s="241">
        <f>IF(AND($F29="A",$F8&gt;0),$G29,0)</f>
        <v>0</v>
      </c>
      <c r="AN29" s="241">
        <f>IF($F8&gt;0,$G29,0)</f>
        <v>0</v>
      </c>
      <c r="AQ29" s="242">
        <f>IF($N8="E",$R8/'DATI (2)'!$E$13,0)</f>
        <v>0</v>
      </c>
      <c r="AR29" s="242">
        <f>IF($N8="E",$S8/'DATI (2)'!$E$14,0)</f>
        <v>0</v>
      </c>
      <c r="AS29" s="243">
        <f>($R8)/'DATI (2)'!$E$13</f>
        <v>0</v>
      </c>
      <c r="AT29" s="243">
        <f>$S8/'DATI (2)'!$E$14</f>
        <v>0</v>
      </c>
      <c r="AV29" s="242">
        <f>IF(AND($F29="E",$F8&gt;0),$R8/'DATI (2)'!$E$13,0)</f>
        <v>0</v>
      </c>
      <c r="AW29" s="244">
        <f>IF(AND($F29="E",$F8&gt;0),$Z29,0)</f>
        <v>0</v>
      </c>
      <c r="AX29" s="242">
        <f>IF(AND($F29="E",$F8=0),$R8/'DATI (2)'!$E$13,0)</f>
        <v>0</v>
      </c>
      <c r="AY29" s="244">
        <f>IF(AND($F29="E",$F8=0,R8&gt;0),$Z29*$BT29,0)</f>
        <v>0</v>
      </c>
      <c r="AZ29" s="242">
        <f>IF(AND($F29="E"),$S8/'DATI (2)'!$E$13,0)</f>
        <v>0</v>
      </c>
      <c r="BA29" s="244">
        <f>IF(AND($F29="E",$S8&gt;0),$Z29*$BU29,0)</f>
        <v>0</v>
      </c>
      <c r="BC29" s="242">
        <f>IF(AND(OR($F29="B",$F29="C"),$F8&gt;0),$R8/'DATI (2)'!$E$13,0)</f>
        <v>0</v>
      </c>
      <c r="BD29" s="244">
        <f>IF(AND(AND(OR($F29="B",$F29="C")),$F8&gt;0),$Z29,0)</f>
        <v>0</v>
      </c>
      <c r="BE29" s="242">
        <f>IF(AND(OR($F29="B",$F29="C"),$F8=0),$R8/'DATI (2)'!$E$13,0)</f>
        <v>0</v>
      </c>
      <c r="BF29" s="244">
        <f>IF(AND((OR($F29="B",$F29="C")),$F8=0,R8&gt;0),$Z29*$BT29,0)</f>
        <v>0</v>
      </c>
      <c r="BG29" s="242">
        <f>IF(AND(OR($F29="B",$F29="C")),$S8/'DATI (2)'!$E$13,0)</f>
        <v>0</v>
      </c>
      <c r="BH29" s="244">
        <f>IF(AND((OR($F29="B",$F29="C")),$S8&gt;0),$Z29*$BU29,0)</f>
        <v>0</v>
      </c>
      <c r="BJ29" s="242">
        <f>IF(AND($F29="A",$F8&gt;0),$R8/'DATI (2)'!$E$13,0)</f>
        <v>0</v>
      </c>
      <c r="BK29" s="244">
        <f>IF(AND($F29="a",$F8&gt;0),$Z29,0)</f>
        <v>0</v>
      </c>
      <c r="BL29" s="242">
        <f>IF(AND($F29="A",$F8=0),$R8/'DATI (2)'!$E$13,0)</f>
        <v>0</v>
      </c>
      <c r="BM29" s="244">
        <f>IF(AND($F29="a",$F8=0,R8&gt;0),$Z29*$BT29,0)</f>
        <v>0</v>
      </c>
      <c r="BN29" s="242">
        <f>IF(AND($F29="A"),$S8/'DATI (2)'!$E$13,0)</f>
        <v>0</v>
      </c>
      <c r="BO29" s="244">
        <f>IF(AND($F29="a",$S8&gt;0),$Z29*$BU29,0)</f>
        <v>0</v>
      </c>
      <c r="BQ29" s="245">
        <f>Q8</f>
        <v>0</v>
      </c>
      <c r="BR29" s="245">
        <f>R8/'DATI (2)'!$E$13</f>
        <v>0</v>
      </c>
      <c r="BS29" s="245">
        <f>S8/'DATI (2)'!$E$14</f>
        <v>0</v>
      </c>
      <c r="BT29" s="245" t="e">
        <f>BR29/BQ29</f>
        <v>#DIV/0!</v>
      </c>
      <c r="BU29" s="245" t="e">
        <f>BS29/BQ29</f>
        <v>#DIV/0!</v>
      </c>
      <c r="BW29" s="263">
        <f>IF(F29="E",$Q$41*G29/$AI$41,0)</f>
        <v>0</v>
      </c>
    </row>
    <row r="30" spans="4:75" ht="19.5" customHeight="1">
      <c r="D30" s="246">
        <f>D9</f>
        <v>0</v>
      </c>
      <c r="E30" s="247">
        <f>F9</f>
        <v>0</v>
      </c>
      <c r="F30" s="248">
        <f>N9</f>
        <v>0</v>
      </c>
      <c r="G30" s="249">
        <f>Q9</f>
        <v>0</v>
      </c>
      <c r="H30" s="250">
        <f>AC9</f>
        <v>0</v>
      </c>
      <c r="I30" s="250"/>
      <c r="J30" s="250"/>
      <c r="K30" s="251">
        <f>(H30)*0.1</f>
        <v>0</v>
      </c>
      <c r="L30" s="251"/>
      <c r="M30" s="252">
        <f>IF($C$5="s",IF(SUM($H$41)&lt;=1000000,SUM(H30)*0.02,SUM(H30)*0.01),0)</f>
        <v>0</v>
      </c>
      <c r="N30" s="252"/>
      <c r="O30" s="253">
        <f>(M30*(0.04))</f>
        <v>0</v>
      </c>
      <c r="P30" s="254">
        <f>(M30+O30)*0.22</f>
        <v>0</v>
      </c>
      <c r="Q30" s="255">
        <f>IF(F30="E",G30*12,0)</f>
        <v>0</v>
      </c>
      <c r="R30" s="256">
        <f>BW30*0.22</f>
        <v>0</v>
      </c>
      <c r="S30" s="257">
        <f>IF(F30="E",H30*1.5%,0)</f>
        <v>0</v>
      </c>
      <c r="T30" s="258">
        <f>S30*0.02</f>
        <v>0</v>
      </c>
      <c r="U30" s="259">
        <f>(S30+T30)*0.22</f>
        <v>0</v>
      </c>
      <c r="V30" s="255">
        <f>H30*0.15</f>
        <v>0</v>
      </c>
      <c r="W30" s="253">
        <f>V30*0.04</f>
        <v>0</v>
      </c>
      <c r="X30" s="260">
        <f>0.22*(W30+V30)</f>
        <v>0</v>
      </c>
      <c r="Y30" s="261">
        <f>SUM(K30:X30)-Q30+BW30</f>
        <v>0</v>
      </c>
      <c r="Z30" s="262">
        <f>Y30+H30</f>
        <v>0</v>
      </c>
      <c r="AA30" s="262"/>
      <c r="AB30" s="240"/>
      <c r="AC30" s="240"/>
      <c r="AF30" s="151"/>
      <c r="AG30" s="151"/>
      <c r="AH30" s="241">
        <f>IF($N9="E",$T9,0)</f>
        <v>0</v>
      </c>
      <c r="AI30" s="241">
        <f>IF(OR($F30="E",$F30="E"),$G30,0)</f>
        <v>0</v>
      </c>
      <c r="AJ30" s="241">
        <f>IF(OR($F30="B",$F30="C"),$G30,0)</f>
        <v>0</v>
      </c>
      <c r="AK30" s="241">
        <f>IF($F30="A",$G30,0)</f>
        <v>0</v>
      </c>
      <c r="AL30" s="241">
        <f>IF($N9="A",$F9,0)</f>
        <v>0</v>
      </c>
      <c r="AM30" s="241">
        <f>IF(AND($F30="A",$F9&gt;0),$G30,0)</f>
        <v>0</v>
      </c>
      <c r="AN30" s="241">
        <f>IF($F9&gt;0,$G30,0)</f>
        <v>0</v>
      </c>
      <c r="AQ30" s="242">
        <f>IF($N9="E",$R9/'DATI (2)'!$E$13,0)</f>
        <v>0</v>
      </c>
      <c r="AR30" s="242">
        <f>IF($N9="E",$S9/'DATI (2)'!$E$14,0)</f>
        <v>0</v>
      </c>
      <c r="AS30" s="243">
        <f>($R9)/'DATI (2)'!$E$13</f>
        <v>0</v>
      </c>
      <c r="AT30" s="243">
        <f>$S9/'DATI (2)'!$E$14</f>
        <v>0</v>
      </c>
      <c r="AV30" s="242">
        <f>IF(AND($F30="E",$F9&gt;0),$R9/'DATI (2)'!$E$13,0)</f>
        <v>0</v>
      </c>
      <c r="AW30" s="244">
        <f>IF(AND($F30="E",$F9&gt;0),$Z30,0)</f>
        <v>0</v>
      </c>
      <c r="AX30" s="242">
        <f>IF(AND($F30="E",$F9=0),$R9/'DATI (2)'!$E$13,0)</f>
        <v>0</v>
      </c>
      <c r="AY30" s="244">
        <f>IF(AND($F30="E",$F9=0,R9&gt;0),$Z30*$BT30,0)</f>
        <v>0</v>
      </c>
      <c r="AZ30" s="242">
        <f>IF(AND($F30="E"),$S9/'DATI (2)'!$E$13,0)</f>
        <v>0</v>
      </c>
      <c r="BA30" s="244">
        <f>IF(AND($F30="E",$S9&gt;0),$Z30*$BU30,0)</f>
        <v>0</v>
      </c>
      <c r="BC30" s="242">
        <f>IF(AND(OR($F30="B",$F30="C"),$F9&gt;0),$R9/'DATI (2)'!$E$13,0)</f>
        <v>0</v>
      </c>
      <c r="BD30" s="244">
        <f>IF(AND(AND(OR($F30="B",$F30="C")),$F9&gt;0),$Z30,0)</f>
        <v>0</v>
      </c>
      <c r="BE30" s="242">
        <f>IF(AND(OR($F30="B",$F30="C"),$F9=0),$R9/'DATI (2)'!$E$13,0)</f>
        <v>0</v>
      </c>
      <c r="BF30" s="244">
        <f>IF(AND((OR($F30="B",$F30="C")),$F9=0,R9&gt;0),$Z30*$BT30,0)</f>
        <v>0</v>
      </c>
      <c r="BG30" s="242">
        <f>IF(AND(OR($F30="B",$F30="C")),$S9/'DATI (2)'!$E$13,0)</f>
        <v>0</v>
      </c>
      <c r="BH30" s="244">
        <f>IF(AND((OR($F30="B",$F30="C")),$S9&gt;0),$Z30*$BU30,0)</f>
        <v>0</v>
      </c>
      <c r="BJ30" s="242">
        <f>IF(AND($F30="A",$F9&gt;0),$R9/'DATI (2)'!$E$13,0)</f>
        <v>0</v>
      </c>
      <c r="BK30" s="244">
        <f>IF(AND($F30="a",$F9&gt;0),$Z30*BT30,0)</f>
        <v>0</v>
      </c>
      <c r="BL30" s="242">
        <f>IF(AND($F30="A",$F9=0),$R9/'DATI (2)'!$E$13,0)</f>
        <v>0</v>
      </c>
      <c r="BM30" s="244">
        <f>IF(AND($F30="a",$F9=0,R9&gt;0),$Z30*$BT30,0)</f>
        <v>0</v>
      </c>
      <c r="BN30" s="242">
        <f>IF(AND($F30="A"),$S9/'DATI (2)'!$E$13,0)</f>
        <v>0</v>
      </c>
      <c r="BO30" s="244">
        <f>IF(AND($F30="a",$S9&gt;0),$Z30*$BU30,0)</f>
        <v>0</v>
      </c>
      <c r="BQ30" s="245">
        <f>Q9</f>
        <v>0</v>
      </c>
      <c r="BR30" s="245">
        <f>R9/'DATI (2)'!$E$13</f>
        <v>0</v>
      </c>
      <c r="BS30" s="245">
        <f>S9/'DATI (2)'!$E$14</f>
        <v>0</v>
      </c>
      <c r="BT30" s="245" t="e">
        <f>BR30/BQ30</f>
        <v>#DIV/0!</v>
      </c>
      <c r="BU30" s="245" t="e">
        <f>BS30/BQ30</f>
        <v>#DIV/0!</v>
      </c>
      <c r="BW30" s="263">
        <f>IF(F30="E",$Q$41*G30/$AI$41,0)</f>
        <v>0</v>
      </c>
    </row>
    <row r="31" spans="4:75" ht="19.5" customHeight="1">
      <c r="D31" s="246">
        <f>D10</f>
        <v>0</v>
      </c>
      <c r="E31" s="247">
        <f>F10</f>
        <v>0</v>
      </c>
      <c r="F31" s="248">
        <f>N10</f>
        <v>0</v>
      </c>
      <c r="G31" s="249">
        <f>Q10</f>
        <v>0</v>
      </c>
      <c r="H31" s="250">
        <f>AC10</f>
        <v>0</v>
      </c>
      <c r="I31" s="250"/>
      <c r="J31" s="250"/>
      <c r="K31" s="251">
        <f>(H31)*0.1</f>
        <v>0</v>
      </c>
      <c r="L31" s="251"/>
      <c r="M31" s="252">
        <f>IF($C$5="s",IF(SUM($H$41)&lt;=1000000,SUM(H31)*0.02,SUM(H31)*0.01),0)</f>
        <v>0</v>
      </c>
      <c r="N31" s="252"/>
      <c r="O31" s="253">
        <f>(M31*(0.04))</f>
        <v>0</v>
      </c>
      <c r="P31" s="254">
        <f>(M31+O31)*0.22</f>
        <v>0</v>
      </c>
      <c r="Q31" s="255">
        <f>IF(F31="E",G31*12,0)</f>
        <v>0</v>
      </c>
      <c r="R31" s="256">
        <f>BW31*0.22</f>
        <v>0</v>
      </c>
      <c r="S31" s="257">
        <f>IF(F31="E",H31*1.5%,0)</f>
        <v>0</v>
      </c>
      <c r="T31" s="258">
        <f>S31*0.02</f>
        <v>0</v>
      </c>
      <c r="U31" s="259">
        <f>(S31+T31)*0.22</f>
        <v>0</v>
      </c>
      <c r="V31" s="255">
        <f>H31*0.15</f>
        <v>0</v>
      </c>
      <c r="W31" s="253">
        <f>V31*0.04</f>
        <v>0</v>
      </c>
      <c r="X31" s="260">
        <f>0.22*(W31+V31)</f>
        <v>0</v>
      </c>
      <c r="Y31" s="261">
        <f>SUM(K31:X31)-Q31+BW31</f>
        <v>0</v>
      </c>
      <c r="Z31" s="262">
        <f>Y31+H31</f>
        <v>0</v>
      </c>
      <c r="AA31" s="262"/>
      <c r="AB31" s="240"/>
      <c r="AC31" s="240"/>
      <c r="AF31" s="151"/>
      <c r="AG31" s="151"/>
      <c r="AH31" s="241">
        <f>IF($N10="E",$T10,0)</f>
        <v>0</v>
      </c>
      <c r="AI31" s="241">
        <f>IF(OR($F31="E",$F31="E"),$G31,0)</f>
        <v>0</v>
      </c>
      <c r="AJ31" s="241">
        <f>IF(OR($F31="B",$F31="C"),$G31,0)</f>
        <v>0</v>
      </c>
      <c r="AK31" s="241">
        <f>IF($F31="A",$G31,0)</f>
        <v>0</v>
      </c>
      <c r="AL31" s="241">
        <f>IF($N10="A",$F10,0)</f>
        <v>0</v>
      </c>
      <c r="AM31" s="241">
        <f>IF(AND($F31="A",$F10&gt;0),$G31,0)</f>
        <v>0</v>
      </c>
      <c r="AN31" s="241">
        <f>IF($F10&gt;0,$G31,0)</f>
        <v>0</v>
      </c>
      <c r="AQ31" s="242">
        <f>IF($N10="E",$R10/'DATI (2)'!$E$13,0)</f>
        <v>0</v>
      </c>
      <c r="AR31" s="242">
        <f>IF($N10="E",$S10/'DATI (2)'!$E$14,0)</f>
        <v>0</v>
      </c>
      <c r="AS31" s="243">
        <f>($R10)/'DATI (2)'!$E$13</f>
        <v>0</v>
      </c>
      <c r="AT31" s="243">
        <f>$S10/'DATI (2)'!$E$14</f>
        <v>0</v>
      </c>
      <c r="AV31" s="242">
        <f>IF(AND($F31="E",$F10&gt;0),$R10/'DATI (2)'!$E$13,0)</f>
        <v>0</v>
      </c>
      <c r="AW31" s="244">
        <f>IF(AND($F31="E",$F10&gt;0),$Z31,0)</f>
        <v>0</v>
      </c>
      <c r="AX31" s="242">
        <f>IF(AND($F31="E",$F10=0),$R10/'DATI (2)'!$E$13,0)</f>
        <v>0</v>
      </c>
      <c r="AY31" s="244">
        <f>IF(AND($F31="E",$F10=0,R10&gt;0),$Z31*$BT31,0)</f>
        <v>0</v>
      </c>
      <c r="AZ31" s="242">
        <f>IF(AND($F31="E"),$S10/'DATI (2)'!$E$13,0)</f>
        <v>0</v>
      </c>
      <c r="BA31" s="244">
        <f>IF(AND($F31="E",$S10&gt;0),$Z31*$BU31,0)</f>
        <v>0</v>
      </c>
      <c r="BB31" s="264"/>
      <c r="BC31" s="242">
        <f>IF(AND(OR($F31="B",$F31="C"),$F10&gt;0),$R10/'DATI (2)'!$E$13,0)</f>
        <v>0</v>
      </c>
      <c r="BD31" s="244">
        <f>IF(AND(AND(OR($F31="B",$F31="C")),$F10&gt;0),$Z31,0)</f>
        <v>0</v>
      </c>
      <c r="BE31" s="242">
        <f>IF(AND(OR($F31="B",$F31="C"),$F10=0),$R10/'DATI (2)'!$E$13,0)</f>
        <v>0</v>
      </c>
      <c r="BF31" s="244">
        <f>IF(AND((OR($F31="B",$F31="C")),$F10=0,R10&gt;0),$Z31*$BT31,0)</f>
        <v>0</v>
      </c>
      <c r="BG31" s="242">
        <f>IF(AND(OR($F31="B",$F31="C")),$S10/'DATI (2)'!$E$13,0)</f>
        <v>0</v>
      </c>
      <c r="BH31" s="244">
        <f>IF(AND((OR($F31="B",$F31="C")),$S10&gt;0),$Z31*$BU31,0)</f>
        <v>0</v>
      </c>
      <c r="BJ31" s="242">
        <f>IF(AND($F31="A",$F10&gt;0),$R10/'DATI (2)'!$E$13,0)</f>
        <v>0</v>
      </c>
      <c r="BK31" s="244">
        <f>IF(AND($F31="a",$F10&gt;0),$Z31,0)</f>
        <v>0</v>
      </c>
      <c r="BL31" s="242">
        <f>IF(AND($F31="A",$F10=0),$R10/'DATI (2)'!$E$13,0)</f>
        <v>0</v>
      </c>
      <c r="BM31" s="244">
        <f>IF(AND($F31="a",$F10=0,R10&gt;0),$Z31*$BT31,0)</f>
        <v>0</v>
      </c>
      <c r="BN31" s="242">
        <f>IF(AND($F31="A"),$S10/'DATI (2)'!$E$13,0)</f>
        <v>0</v>
      </c>
      <c r="BO31" s="244">
        <f>IF(AND($F31="a",$S10&gt;0),$Z31*$BU31,0)</f>
        <v>0</v>
      </c>
      <c r="BQ31" s="245">
        <f>Q10</f>
        <v>0</v>
      </c>
      <c r="BR31" s="245">
        <f>R10/'DATI (2)'!$E$13</f>
        <v>0</v>
      </c>
      <c r="BS31" s="245">
        <f>S10/'DATI (2)'!$E$14</f>
        <v>0</v>
      </c>
      <c r="BT31" s="245" t="e">
        <f>BR31/BQ31</f>
        <v>#DIV/0!</v>
      </c>
      <c r="BU31" s="245" t="e">
        <f>BS31/BQ31</f>
        <v>#DIV/0!</v>
      </c>
      <c r="BW31" s="263">
        <f>IF(F31="E",$Q$41*G31/$AI$41,0)</f>
        <v>0</v>
      </c>
    </row>
    <row r="32" spans="4:75" ht="19.5" customHeight="1">
      <c r="D32" s="246">
        <f>D11</f>
        <v>0</v>
      </c>
      <c r="E32" s="247">
        <f>F11</f>
        <v>0</v>
      </c>
      <c r="F32" s="248">
        <f>N11</f>
        <v>0</v>
      </c>
      <c r="G32" s="249">
        <f>Q11</f>
        <v>0</v>
      </c>
      <c r="H32" s="250">
        <f>AC11</f>
        <v>0</v>
      </c>
      <c r="I32" s="250"/>
      <c r="J32" s="250"/>
      <c r="K32" s="251">
        <f>(H32)*0.1</f>
        <v>0</v>
      </c>
      <c r="L32" s="251"/>
      <c r="M32" s="252">
        <f>IF($C$5="s",IF(SUM($H$41)&lt;=1000000,SUM(H32)*0.02,SUM(H32)*0.01),0)</f>
        <v>0</v>
      </c>
      <c r="N32" s="252"/>
      <c r="O32" s="253">
        <f>(M32*(0.04))</f>
        <v>0</v>
      </c>
      <c r="P32" s="254">
        <f>(M32+O32)*0.22</f>
        <v>0</v>
      </c>
      <c r="Q32" s="255">
        <f>IF(F32="E",G32*12,0)</f>
        <v>0</v>
      </c>
      <c r="R32" s="256">
        <f>BW32*0.22</f>
        <v>0</v>
      </c>
      <c r="S32" s="257">
        <f>IF(F32="E",H32*1.5%,0)</f>
        <v>0</v>
      </c>
      <c r="T32" s="258">
        <f>S32*0.02</f>
        <v>0</v>
      </c>
      <c r="U32" s="259">
        <f>(S32+T32)*0.22</f>
        <v>0</v>
      </c>
      <c r="V32" s="255">
        <f>H32*0.15</f>
        <v>0</v>
      </c>
      <c r="W32" s="253">
        <f>V32*0.04</f>
        <v>0</v>
      </c>
      <c r="X32" s="260">
        <f>0.22*(W32+V32)</f>
        <v>0</v>
      </c>
      <c r="Y32" s="261">
        <f>SUM(K32:X32)-Q32+BW32</f>
        <v>0</v>
      </c>
      <c r="Z32" s="262">
        <f>Y32+H32</f>
        <v>0</v>
      </c>
      <c r="AA32" s="262"/>
      <c r="AB32" s="240"/>
      <c r="AC32" s="240"/>
      <c r="AF32" s="151"/>
      <c r="AG32" s="151"/>
      <c r="AH32" s="241">
        <f>IF($N11="E",$T11,0)</f>
        <v>0</v>
      </c>
      <c r="AI32" s="241">
        <f>IF(OR($F32="E",$F32="E"),$G32,0)</f>
        <v>0</v>
      </c>
      <c r="AJ32" s="241">
        <f>IF(OR($F32="B",$F32="C"),$G32,0)</f>
        <v>0</v>
      </c>
      <c r="AK32" s="241">
        <f>IF($F32="A",$G32,0)</f>
        <v>0</v>
      </c>
      <c r="AL32" s="241">
        <f>IF($N11="A",$F11,0)</f>
        <v>0</v>
      </c>
      <c r="AM32" s="241">
        <f>IF(AND($F32="A",$F11&gt;0),$G32,0)</f>
        <v>0</v>
      </c>
      <c r="AN32" s="241">
        <f>IF($F11&gt;0,$G32,0)</f>
        <v>0</v>
      </c>
      <c r="AQ32" s="242">
        <f>IF($N11="E",$R11/'DATI (2)'!$E$13,0)</f>
        <v>0</v>
      </c>
      <c r="AR32" s="242">
        <f>IF($N11="E",$S11/'DATI (2)'!$E$14,0)</f>
        <v>0</v>
      </c>
      <c r="AS32" s="243">
        <f>($R11)/'DATI (2)'!$E$13</f>
        <v>0</v>
      </c>
      <c r="AT32" s="243">
        <f>$S11/'DATI (2)'!$E$14</f>
        <v>0</v>
      </c>
      <c r="AV32" s="242">
        <f>IF(AND($F32="E",$F11&gt;0),$R11/'DATI (2)'!$E$13,0)</f>
        <v>0</v>
      </c>
      <c r="AW32" s="244">
        <f>IF(AND($F32="E",$F11&gt;0),$Z32,0)</f>
        <v>0</v>
      </c>
      <c r="AX32" s="242">
        <f>IF(AND($F32="E",$F11=0),$R11/'DATI (2)'!$E$13,0)</f>
        <v>0</v>
      </c>
      <c r="AY32" s="244">
        <f>IF(AND($F32="E",$F11=0,R11&gt;0),$Z32*$BT32,0)</f>
        <v>0</v>
      </c>
      <c r="AZ32" s="242">
        <f>IF(AND($F32="E"),$S11/'DATI (2)'!$E$13,0)</f>
        <v>0</v>
      </c>
      <c r="BA32" s="244">
        <f>IF(AND($F32="E",$S11&gt;0),$Z32*$BU32,0)</f>
        <v>0</v>
      </c>
      <c r="BC32" s="242">
        <f>IF(AND(OR($F32="B",$F32="C"),$F11&gt;0),$R11/'DATI (2)'!$E$13,0)</f>
        <v>0</v>
      </c>
      <c r="BD32" s="244">
        <f>IF(AND(AND(OR($F32="B",$F32="C")),$F11&gt;0),$Z32,0)</f>
        <v>0</v>
      </c>
      <c r="BE32" s="242">
        <f>IF(AND(OR($F32="B",$F32="C"),$F11=0),$R11/'DATI (2)'!$E$13,0)</f>
        <v>0</v>
      </c>
      <c r="BF32" s="244">
        <f>IF(AND((OR($F32="B",$F32="C")),$F11=0,R11&gt;0),$Z32*$BT32,0)</f>
        <v>0</v>
      </c>
      <c r="BG32" s="242">
        <f>IF(AND(OR($F32="B",$F32="C")),$S11/'DATI (2)'!$E$13,0)</f>
        <v>0</v>
      </c>
      <c r="BH32" s="244">
        <f>IF(AND((OR($F32="B",$F32="C")),$S11&gt;0),$Z32*$BU32,0)</f>
        <v>0</v>
      </c>
      <c r="BJ32" s="242">
        <f>IF(AND($F32="A",$F11&gt;0),$R11/'DATI (2)'!$E$13,0)</f>
        <v>0</v>
      </c>
      <c r="BK32" s="244">
        <f>IF(AND($F32="a",$F11&gt;0),$Z32,0)</f>
        <v>0</v>
      </c>
      <c r="BL32" s="242">
        <f>IF(AND($F32="A",$F11=0),$R11/'DATI (2)'!$E$13,0)</f>
        <v>0</v>
      </c>
      <c r="BM32" s="244">
        <f>IF(AND($F32="a",$F11=0,R11&gt;0),$Z32*$BT32,0)</f>
        <v>0</v>
      </c>
      <c r="BN32" s="242">
        <f>IF(AND($F32="A"),$S11/'DATI (2)'!$E$13,0)</f>
        <v>0</v>
      </c>
      <c r="BO32" s="244">
        <f>IF(AND($F32="a",$S11&gt;0),$Z32*$BU32,0)</f>
        <v>0</v>
      </c>
      <c r="BQ32" s="245">
        <f>Q11</f>
        <v>0</v>
      </c>
      <c r="BR32" s="245">
        <f>R11/'DATI (2)'!$E$13</f>
        <v>0</v>
      </c>
      <c r="BS32" s="245">
        <f>S11/'DATI (2)'!$E$14</f>
        <v>0</v>
      </c>
      <c r="BT32" s="245" t="e">
        <f>BR32/BQ32</f>
        <v>#DIV/0!</v>
      </c>
      <c r="BU32" s="245" t="e">
        <f>BS32/BQ32</f>
        <v>#DIV/0!</v>
      </c>
      <c r="BW32" s="68">
        <f>IF(F32="E",$Q$41*G32/$AI$41,0)</f>
        <v>0</v>
      </c>
    </row>
    <row r="33" spans="4:75" ht="19.5" customHeight="1">
      <c r="D33" s="246">
        <f>D12</f>
        <v>0</v>
      </c>
      <c r="E33" s="247">
        <f>F12</f>
        <v>0</v>
      </c>
      <c r="F33" s="248">
        <f>N12</f>
        <v>0</v>
      </c>
      <c r="G33" s="249">
        <f>Q12</f>
        <v>0</v>
      </c>
      <c r="H33" s="250">
        <f>AC12</f>
        <v>0</v>
      </c>
      <c r="I33" s="250"/>
      <c r="J33" s="250"/>
      <c r="K33" s="251">
        <f>(H33)*0.1</f>
        <v>0</v>
      </c>
      <c r="L33" s="251"/>
      <c r="M33" s="252">
        <f>IF($C$5="s",IF(SUM($H$41)&lt;=1000000,SUM(H33)*0.02,SUM(H33)*0.01),0)</f>
        <v>0</v>
      </c>
      <c r="N33" s="252"/>
      <c r="O33" s="253">
        <f>(M33*(0.04))</f>
        <v>0</v>
      </c>
      <c r="P33" s="254">
        <f>(M33+O33)*0.22</f>
        <v>0</v>
      </c>
      <c r="Q33" s="255">
        <f>IF(F33="E",G33*12,0)</f>
        <v>0</v>
      </c>
      <c r="R33" s="256">
        <f>BW33*0.22</f>
        <v>0</v>
      </c>
      <c r="S33" s="257">
        <f>IF(F33="E",H33*1.5%,0)</f>
        <v>0</v>
      </c>
      <c r="T33" s="258">
        <f>S33*0.02</f>
        <v>0</v>
      </c>
      <c r="U33" s="259">
        <f>(S33+T33)*0.22</f>
        <v>0</v>
      </c>
      <c r="V33" s="255">
        <f>H33*0.15</f>
        <v>0</v>
      </c>
      <c r="W33" s="253">
        <f>V33*0.04</f>
        <v>0</v>
      </c>
      <c r="X33" s="260">
        <f>0.22*(W33+V33)</f>
        <v>0</v>
      </c>
      <c r="Y33" s="261">
        <f>SUM(K33:X33)-Q33+BW33</f>
        <v>0</v>
      </c>
      <c r="Z33" s="262">
        <f>Y33+H33</f>
        <v>0</v>
      </c>
      <c r="AA33" s="262"/>
      <c r="AB33" s="240"/>
      <c r="AC33" s="240"/>
      <c r="AF33" s="151"/>
      <c r="AG33" s="151"/>
      <c r="AH33" s="241">
        <f>IF($N12="E",$T12,0)</f>
        <v>0</v>
      </c>
      <c r="AI33" s="241">
        <f>IF(OR($F33="E",$F33="E"),$G33,0)</f>
        <v>0</v>
      </c>
      <c r="AJ33" s="241">
        <f>IF(OR($F33="B",$F33="C"),$G33,0)</f>
        <v>0</v>
      </c>
      <c r="AK33" s="241">
        <f>IF($F33="A",$G33,0)</f>
        <v>0</v>
      </c>
      <c r="AL33" s="241">
        <f>IF($N12="A",$F12,0)</f>
        <v>0</v>
      </c>
      <c r="AM33" s="241">
        <f>IF(AND($F33="A",$F12&gt;0),$G33,0)</f>
        <v>0</v>
      </c>
      <c r="AN33" s="241">
        <f>IF($F12&gt;0,$G33,0)</f>
        <v>0</v>
      </c>
      <c r="AQ33" s="242">
        <f>IF($N12="E",$R12/'DATI (2)'!$E$13,0)</f>
        <v>0</v>
      </c>
      <c r="AR33" s="242">
        <f>IF($N12="E",$S12/'DATI (2)'!$E$14,0)</f>
        <v>0</v>
      </c>
      <c r="AS33" s="243">
        <f>($R12)/'DATI (2)'!$E$13</f>
        <v>0</v>
      </c>
      <c r="AT33" s="243">
        <f>$S12/'DATI (2)'!$E$14</f>
        <v>0</v>
      </c>
      <c r="AV33" s="242">
        <f>IF(AND($F33="E",$F12&gt;0),$R12/'DATI (2)'!$E$13,0)</f>
        <v>0</v>
      </c>
      <c r="AW33" s="244">
        <f>IF(AND($F33="E",$F12&gt;0),$Z33,0)</f>
        <v>0</v>
      </c>
      <c r="AX33" s="242">
        <f>IF(AND($F33="E",$F12=0),$R12/'DATI (2)'!$E$13,0)</f>
        <v>0</v>
      </c>
      <c r="AY33" s="244">
        <f>IF(AND($F33="E",$F12=0,R12&gt;0),$Z33*$BT33,0)</f>
        <v>0</v>
      </c>
      <c r="AZ33" s="242">
        <f>IF(AND($F33="E"),$S12/'DATI (2)'!$E$13,0)</f>
        <v>0</v>
      </c>
      <c r="BA33" s="244">
        <f>IF(AND($F33="E",$S12&gt;0),$Z33*$BU33,0)</f>
        <v>0</v>
      </c>
      <c r="BC33" s="242">
        <f>IF(AND(OR($F33="B",$F33="C"),$F12&gt;0),$R12/'DATI (2)'!$E$13,0)</f>
        <v>0</v>
      </c>
      <c r="BD33" s="244">
        <f>IF(AND(AND(OR($F33="B",$F33="C")),$F12&gt;0),$Z33,0)</f>
        <v>0</v>
      </c>
      <c r="BE33" s="242">
        <f>IF(AND(OR($F33="B",$F33="C"),$F12=0),$R12/'DATI (2)'!$E$13,0)</f>
        <v>0</v>
      </c>
      <c r="BF33" s="244">
        <f>IF(AND((OR($F33="B",$F33="C")),$F12=0,R12&gt;0),$Z33*$BT33,0)</f>
        <v>0</v>
      </c>
      <c r="BG33" s="242">
        <f>IF(AND(OR($F33="B",$F33="C")),$S12/'DATI (2)'!$E$13,0)</f>
        <v>0</v>
      </c>
      <c r="BH33" s="244">
        <f>IF(AND((OR($F33="B",$F33="C")),$S12&gt;0),$Z33*$BU33,0)</f>
        <v>0</v>
      </c>
      <c r="BJ33" s="242">
        <f>IF(AND($F33="A",$F12&gt;0),$R12/'DATI (2)'!$E$13,0)</f>
        <v>0</v>
      </c>
      <c r="BK33" s="244">
        <f>IF(AND($F33="a",$F12&gt;0),$Z33,0)</f>
        <v>0</v>
      </c>
      <c r="BL33" s="242">
        <f>IF(AND($F33="A",$F12=0),$R12/'DATI (2)'!$E$13,0)</f>
        <v>0</v>
      </c>
      <c r="BM33" s="244">
        <f>IF(AND($F33="a",$F12=0,R12&gt;0),$Z33*$BT33,0)</f>
        <v>0</v>
      </c>
      <c r="BN33" s="242">
        <f>IF(AND($F33="A"),$S12/'DATI (2)'!$E$13,0)</f>
        <v>0</v>
      </c>
      <c r="BO33" s="244">
        <f>IF(AND($F33="a",$S12&gt;0),$Z33*$BU33,0)</f>
        <v>0</v>
      </c>
      <c r="BQ33" s="245">
        <f>Q12</f>
        <v>0</v>
      </c>
      <c r="BR33" s="245">
        <f>R12/'DATI (2)'!$E$13</f>
        <v>0</v>
      </c>
      <c r="BS33" s="245">
        <f>S12/'DATI (2)'!$E$14</f>
        <v>0</v>
      </c>
      <c r="BT33" s="245" t="e">
        <f>BR33/BQ33</f>
        <v>#DIV/0!</v>
      </c>
      <c r="BU33" s="245" t="e">
        <f>BS33/BQ33</f>
        <v>#DIV/0!</v>
      </c>
      <c r="BW33" s="68">
        <f>IF(F33="E",$Q$41*G33/$AI$41,0)</f>
        <v>0</v>
      </c>
    </row>
    <row r="34" spans="4:75" ht="19.5" customHeight="1">
      <c r="D34" s="246">
        <f>D13</f>
        <v>0</v>
      </c>
      <c r="E34" s="247">
        <f>F13</f>
        <v>0</v>
      </c>
      <c r="F34" s="248">
        <f>N13</f>
        <v>0</v>
      </c>
      <c r="G34" s="249">
        <f>Q13</f>
        <v>0</v>
      </c>
      <c r="H34" s="250">
        <f>AC13</f>
        <v>0</v>
      </c>
      <c r="I34" s="250"/>
      <c r="J34" s="250"/>
      <c r="K34" s="251">
        <f>(H34)*0.1</f>
        <v>0</v>
      </c>
      <c r="L34" s="251"/>
      <c r="M34" s="252">
        <f>IF($C$5="s",IF(SUM($H$41)&lt;=1000000,SUM(H34)*0.02,SUM(H34)*0.01),0)</f>
        <v>0</v>
      </c>
      <c r="N34" s="252"/>
      <c r="O34" s="253">
        <f>(M34*(0.04))</f>
        <v>0</v>
      </c>
      <c r="P34" s="254">
        <f>(M34+O34)*0.22</f>
        <v>0</v>
      </c>
      <c r="Q34" s="255">
        <f>IF(F34="E",G34*12,0)</f>
        <v>0</v>
      </c>
      <c r="R34" s="256">
        <f>BW34*0.22</f>
        <v>0</v>
      </c>
      <c r="S34" s="257"/>
      <c r="T34" s="258"/>
      <c r="U34" s="259">
        <f>(S34+T34)*0.22</f>
        <v>0</v>
      </c>
      <c r="V34" s="255">
        <f>H34*0.15</f>
        <v>0</v>
      </c>
      <c r="W34" s="253">
        <f>V34*0.04</f>
        <v>0</v>
      </c>
      <c r="X34" s="260">
        <f>0.22*(W34+V34)</f>
        <v>0</v>
      </c>
      <c r="Y34" s="261">
        <f>SUM(K34:X34)-Q34+BW34</f>
        <v>0</v>
      </c>
      <c r="Z34" s="262">
        <f>Y34+H34</f>
        <v>0</v>
      </c>
      <c r="AA34" s="262"/>
      <c r="AB34" s="240"/>
      <c r="AC34" s="240"/>
      <c r="AF34" s="151"/>
      <c r="AG34" s="151"/>
      <c r="AH34" s="241">
        <f>IF($N13="E",$T13,0)</f>
        <v>0</v>
      </c>
      <c r="AI34" s="241">
        <f>IF(OR($F34="E",$F34="E"),$G34,0)</f>
        <v>0</v>
      </c>
      <c r="AJ34" s="241">
        <f>IF(OR($F34="B",$F34="C"),$G34,0)</f>
        <v>0</v>
      </c>
      <c r="AK34" s="241">
        <f>IF($F34="A",$G34,0)</f>
        <v>0</v>
      </c>
      <c r="AL34" s="241">
        <f>IF($N13="A",$F13,0)</f>
        <v>0</v>
      </c>
      <c r="AM34" s="241">
        <f>IF(AND($F34="A",$F13&gt;0),$G34,0)</f>
        <v>0</v>
      </c>
      <c r="AN34" s="241">
        <f>IF($F13&gt;0,$G34,0)</f>
        <v>0</v>
      </c>
      <c r="AQ34" s="242">
        <f>IF($N13="E",$R13/'DATI (2)'!$E$13,0)</f>
        <v>0</v>
      </c>
      <c r="AR34" s="242">
        <f>IF($N13="E",$S13/'DATI (2)'!$E$14,0)</f>
        <v>0</v>
      </c>
      <c r="AS34" s="243">
        <f>($R13)/'DATI (2)'!$E$13</f>
        <v>0</v>
      </c>
      <c r="AT34" s="243">
        <f>$S13/'DATI (2)'!$E$14</f>
        <v>0</v>
      </c>
      <c r="AV34" s="242">
        <f>IF(AND($F34="E",$F13&gt;0),$R13/'DATI (2)'!$E$13,0)</f>
        <v>0</v>
      </c>
      <c r="AW34" s="244">
        <f>IF(AND($F34="E",$F13&gt;0),$Z34,0)</f>
        <v>0</v>
      </c>
      <c r="AX34" s="242">
        <f>IF(AND($F34="E",$F13=0),$R13/'DATI (2)'!$E$13,0)</f>
        <v>0</v>
      </c>
      <c r="AY34" s="244">
        <f>IF(AND($F34="E",$F13=0,R13&gt;0),$Z34*$BT34,0)</f>
        <v>0</v>
      </c>
      <c r="AZ34" s="242">
        <f>IF(AND($F34="E"),$S13/'DATI (2)'!$E$13,0)</f>
        <v>0</v>
      </c>
      <c r="BA34" s="244">
        <f>IF(AND($F34="E",$S13&gt;0),$Z34*$BU34,0)</f>
        <v>0</v>
      </c>
      <c r="BC34" s="242">
        <f>IF(AND(OR($F34="B",$F34="C"),$F13&gt;0),$R13/'DATI (2)'!$E$13,0)</f>
        <v>0</v>
      </c>
      <c r="BD34" s="244">
        <f>IF(AND(AND(OR($F34="B",$F34="C")),$F13&gt;0),$Z34,0)</f>
        <v>0</v>
      </c>
      <c r="BE34" s="242">
        <f>IF(AND(OR($F34="B",$F34="C"),$F13=0),$R13/'DATI (2)'!$E$13,0)</f>
        <v>0</v>
      </c>
      <c r="BF34" s="244">
        <f>IF(AND((OR($F34="B",$F34="C")),$F13=0,R13&gt;0),$Z34*$BT34,0)</f>
        <v>0</v>
      </c>
      <c r="BG34" s="242">
        <f>IF(AND(OR($F34="B",$F34="C")),$S13/'DATI (2)'!$E$13,0)</f>
        <v>0</v>
      </c>
      <c r="BH34" s="244">
        <f>IF(AND((OR($F34="B",$F34="C")),$S13&gt;0),$Z34*$BU34,0)</f>
        <v>0</v>
      </c>
      <c r="BJ34" s="242">
        <f>IF(AND($F34="A",$F13&gt;0),$R13/'DATI (2)'!$E$13,0)</f>
        <v>0</v>
      </c>
      <c r="BK34" s="244">
        <f>IF(AND($F34="a",$F13&gt;0),$Z34,0)</f>
        <v>0</v>
      </c>
      <c r="BL34" s="242">
        <f>IF(AND($F34="A",$F13=0),$R13/'DATI (2)'!$E$13,0)</f>
        <v>0</v>
      </c>
      <c r="BM34" s="244">
        <f>IF(AND($F34="a",$F13=0,R13&gt;0),$Z34*$BT34,0)</f>
        <v>0</v>
      </c>
      <c r="BN34" s="242">
        <f>IF(AND($F34="A"),$S13/'DATI (2)'!$E$13,0)</f>
        <v>0</v>
      </c>
      <c r="BO34" s="244">
        <f>IF(AND($F34="a",$S13&gt;0),$Z34*$BU34,0)</f>
        <v>0</v>
      </c>
      <c r="BQ34" s="245">
        <f>Q13</f>
        <v>0</v>
      </c>
      <c r="BR34" s="245">
        <f>R13/'DATI (2)'!$E$13</f>
        <v>0</v>
      </c>
      <c r="BS34" s="245">
        <f>S13/'DATI (2)'!$E$14</f>
        <v>0</v>
      </c>
      <c r="BT34" s="245" t="e">
        <f>BR34/BQ34</f>
        <v>#DIV/0!</v>
      </c>
      <c r="BU34" s="245" t="e">
        <f>BS34/BQ34</f>
        <v>#DIV/0!</v>
      </c>
      <c r="BW34" s="68">
        <f>IF(F34="E",$Q$41*G34/$AI$41,0)</f>
        <v>0</v>
      </c>
    </row>
    <row r="35" spans="4:75" ht="19.5" customHeight="1">
      <c r="D35" s="246">
        <f>D14</f>
        <v>0</v>
      </c>
      <c r="E35" s="247">
        <f>F14</f>
        <v>0</v>
      </c>
      <c r="F35" s="248">
        <f>N14</f>
        <v>0</v>
      </c>
      <c r="G35" s="249">
        <f>Q14</f>
        <v>0</v>
      </c>
      <c r="H35" s="250">
        <f>AC14</f>
        <v>0</v>
      </c>
      <c r="I35" s="250"/>
      <c r="J35" s="250"/>
      <c r="K35" s="251">
        <f>(H35)*0.1</f>
        <v>0</v>
      </c>
      <c r="L35" s="251"/>
      <c r="M35" s="252">
        <f>IF($C$5="s",IF(SUM($H$41)&lt;=1000000,SUM(H35)*0.02,SUM(H35)*0.01),0)</f>
        <v>0</v>
      </c>
      <c r="N35" s="252"/>
      <c r="O35" s="253">
        <f>(M35*(0.04))</f>
        <v>0</v>
      </c>
      <c r="P35" s="254">
        <f>(M35+O35)*0.22</f>
        <v>0</v>
      </c>
      <c r="Q35" s="255">
        <f>IF(F35="E",G35*12,0)</f>
        <v>0</v>
      </c>
      <c r="R35" s="256">
        <f>BW35*0.22</f>
        <v>0</v>
      </c>
      <c r="S35" s="257"/>
      <c r="T35" s="258"/>
      <c r="U35" s="259">
        <f>(S35+T35)*0.22</f>
        <v>0</v>
      </c>
      <c r="V35" s="255">
        <f>H35*0.15</f>
        <v>0</v>
      </c>
      <c r="W35" s="253">
        <f>V35*0.04</f>
        <v>0</v>
      </c>
      <c r="X35" s="260">
        <f>0.22*(W35+V35)</f>
        <v>0</v>
      </c>
      <c r="Y35" s="261">
        <f>SUM(K35:X35)-Q35+BW35</f>
        <v>0</v>
      </c>
      <c r="Z35" s="262">
        <f>Y35+H35</f>
        <v>0</v>
      </c>
      <c r="AA35" s="262"/>
      <c r="AB35" s="240"/>
      <c r="AC35" s="240"/>
      <c r="AF35" s="151"/>
      <c r="AG35" s="151"/>
      <c r="AH35" s="241">
        <f>IF($N14="E",$T14,0)</f>
        <v>0</v>
      </c>
      <c r="AI35" s="241">
        <f>IF(OR($F35="E",$F35="E"),$G35,0)</f>
        <v>0</v>
      </c>
      <c r="AJ35" s="241">
        <f>IF(OR($F35="B",$F35="C"),$G35,0)</f>
        <v>0</v>
      </c>
      <c r="AK35" s="241">
        <f>IF($F35="A",$G35,0)</f>
        <v>0</v>
      </c>
      <c r="AL35" s="241">
        <f>IF($N14="A",$F14,0)</f>
        <v>0</v>
      </c>
      <c r="AM35" s="241">
        <f>IF(AND($F35="A",$F14&gt;0),$G35,0)</f>
        <v>0</v>
      </c>
      <c r="AN35" s="241">
        <f>IF($F14&gt;0,$G35,0)</f>
        <v>0</v>
      </c>
      <c r="AQ35" s="242">
        <f>IF($N14="E",$R14/'DATI (2)'!$E$13,0)</f>
        <v>0</v>
      </c>
      <c r="AR35" s="242">
        <f>IF($N14="E",$S14/'DATI (2)'!$E$14,0)</f>
        <v>0</v>
      </c>
      <c r="AS35" s="243">
        <f>($R14)/'DATI (2)'!$E$13</f>
        <v>0</v>
      </c>
      <c r="AT35" s="243">
        <f>$S14/'DATI (2)'!$E$14</f>
        <v>0</v>
      </c>
      <c r="AV35" s="242">
        <f>IF(AND($F35="E",$F14&gt;0),$R14/'DATI (2)'!$E$13,0)</f>
        <v>0</v>
      </c>
      <c r="AW35" s="244">
        <f>IF(AND($F35="E",$F14&gt;0),$Z35,0)</f>
        <v>0</v>
      </c>
      <c r="AX35" s="242">
        <f>IF(AND($F35="E",$F14=0),$R14/'DATI (2)'!$E$13,0)</f>
        <v>0</v>
      </c>
      <c r="AY35" s="244">
        <f>IF(AND($F35="E",$F14=0,R14&gt;0),$Z35*$BT35,0)</f>
        <v>0</v>
      </c>
      <c r="AZ35" s="242">
        <f>IF(AND($F35="E"),$S14/'DATI (2)'!$E$13,0)</f>
        <v>0</v>
      </c>
      <c r="BA35" s="244">
        <f>IF(AND($F35="E",$S14&gt;0),$Z35*$BU35,0)</f>
        <v>0</v>
      </c>
      <c r="BC35" s="242">
        <f>IF(AND(OR($F35="B",$F35="C"),$F14&gt;0),$R14/'DATI (2)'!$E$13,0)</f>
        <v>0</v>
      </c>
      <c r="BD35" s="244">
        <f>IF(AND(AND(OR($F35="B",$F35="C")),$F14&gt;0),$Z35,0)</f>
        <v>0</v>
      </c>
      <c r="BE35" s="242">
        <f>IF(AND(OR($F35="B",$F35="C"),$F14=0),$R14/'DATI (2)'!$E$13,0)</f>
        <v>0</v>
      </c>
      <c r="BF35" s="244">
        <f>IF(AND((OR($F35="B",$F35="C")),$F14=0,R14&gt;0),$Z35*$BT35,0)</f>
        <v>0</v>
      </c>
      <c r="BG35" s="242">
        <f>IF(AND(OR($F35="B",$F35="C")),$S14/'DATI (2)'!$E$13,0)</f>
        <v>0</v>
      </c>
      <c r="BH35" s="244">
        <f>IF(AND((OR($F35="B",$F35="C")),$S14&gt;0),$Z35*$BU35,0)</f>
        <v>0</v>
      </c>
      <c r="BJ35" s="242">
        <f>IF(AND($F35="A",$F14&gt;0),$R14/'DATI (2)'!$E$13,0)</f>
        <v>0</v>
      </c>
      <c r="BK35" s="244">
        <f>IF(AND($F35="a",$F14&gt;0),$Z35,0)</f>
        <v>0</v>
      </c>
      <c r="BL35" s="242">
        <f>IF(AND($F35="A",$F14=0),$R14/'DATI (2)'!$E$13,0)</f>
        <v>0</v>
      </c>
      <c r="BM35" s="244">
        <f>IF(AND($F35="a",$F14=0,R14&gt;0),$Z35*$BT35,0)</f>
        <v>0</v>
      </c>
      <c r="BN35" s="242">
        <f>IF(AND($F35="A"),$S14/'DATI (2)'!$E$13,0)</f>
        <v>0</v>
      </c>
      <c r="BO35" s="244">
        <f>IF(AND($F35="a",$S14&gt;0),$Z35*$BU35,0)</f>
        <v>0</v>
      </c>
      <c r="BQ35" s="245">
        <f>Q14</f>
        <v>0</v>
      </c>
      <c r="BR35" s="245">
        <f>R14/'DATI (2)'!$E$13</f>
        <v>0</v>
      </c>
      <c r="BS35" s="245">
        <f>S14/'DATI (2)'!$E$14</f>
        <v>0</v>
      </c>
      <c r="BT35" s="245" t="e">
        <f>BR35/BQ35</f>
        <v>#DIV/0!</v>
      </c>
      <c r="BU35" s="245" t="e">
        <f>BS35/BQ35</f>
        <v>#DIV/0!</v>
      </c>
      <c r="BW35" s="68">
        <f>IF(F35="E",$Q$41*G35/$AI$41,0)</f>
        <v>0</v>
      </c>
    </row>
    <row r="36" spans="4:75" ht="19.5" customHeight="1">
      <c r="D36" s="246">
        <f>D15</f>
        <v>0</v>
      </c>
      <c r="E36" s="247">
        <f>F15</f>
        <v>0</v>
      </c>
      <c r="F36" s="248">
        <f>N15</f>
        <v>0</v>
      </c>
      <c r="G36" s="249">
        <f>Q15</f>
        <v>0</v>
      </c>
      <c r="H36" s="250">
        <f>AC15</f>
        <v>0</v>
      </c>
      <c r="I36" s="250"/>
      <c r="J36" s="250"/>
      <c r="K36" s="251">
        <f>(H36)*0.1</f>
        <v>0</v>
      </c>
      <c r="L36" s="251"/>
      <c r="M36" s="252">
        <f>IF($C$5="s",IF(SUM($H$41)&lt;=1000000,SUM(H36)*0.02,SUM(H36)*0.01),0)</f>
        <v>0</v>
      </c>
      <c r="N36" s="252"/>
      <c r="O36" s="253">
        <f>(M36*(0.04))</f>
        <v>0</v>
      </c>
      <c r="P36" s="254">
        <f>(M36+O36)*0.22</f>
        <v>0</v>
      </c>
      <c r="Q36" s="255">
        <f>IF(F36="E",G36*12,0)</f>
        <v>0</v>
      </c>
      <c r="R36" s="256">
        <f>BW36*0.22</f>
        <v>0</v>
      </c>
      <c r="S36" s="257"/>
      <c r="T36" s="258"/>
      <c r="U36" s="259">
        <f>(S36+T36)*0.22</f>
        <v>0</v>
      </c>
      <c r="V36" s="255">
        <f>H36*0.15</f>
        <v>0</v>
      </c>
      <c r="W36" s="253">
        <f>V36*0.04</f>
        <v>0</v>
      </c>
      <c r="X36" s="260">
        <f>0.22*(W36+V36)</f>
        <v>0</v>
      </c>
      <c r="Y36" s="261">
        <f>SUM(K36:X36)-Q36+BW36</f>
        <v>0</v>
      </c>
      <c r="Z36" s="262">
        <f>Y36+H36</f>
        <v>0</v>
      </c>
      <c r="AA36" s="262"/>
      <c r="AB36" s="240"/>
      <c r="AC36" s="240"/>
      <c r="AF36" s="151"/>
      <c r="AG36" s="151"/>
      <c r="AH36" s="241">
        <f>IF($N15="E",$T15,0)</f>
        <v>0</v>
      </c>
      <c r="AI36" s="241">
        <f>IF(OR($F36="E",$F36="E"),$G36,0)</f>
        <v>0</v>
      </c>
      <c r="AJ36" s="241">
        <f>IF(OR($F36="B",$F36="C"),$G36,0)</f>
        <v>0</v>
      </c>
      <c r="AK36" s="241">
        <f>IF($F36="A",$G36,0)</f>
        <v>0</v>
      </c>
      <c r="AL36" s="241">
        <f>IF($N15="A",$F15,0)</f>
        <v>0</v>
      </c>
      <c r="AM36" s="241">
        <f>IF(AND($F36="A",$F15&gt;0),$G36,0)</f>
        <v>0</v>
      </c>
      <c r="AN36" s="241">
        <f>IF($F15&gt;0,$G36,0)</f>
        <v>0</v>
      </c>
      <c r="AQ36" s="242">
        <f>IF($N15="E",$R15/'DATI (2)'!$E$13,0)</f>
        <v>0</v>
      </c>
      <c r="AR36" s="242">
        <f>IF($N15="E",$S15/'DATI (2)'!$E$14,0)</f>
        <v>0</v>
      </c>
      <c r="AS36" s="243">
        <f>($R15)/'DATI (2)'!$E$13</f>
        <v>0</v>
      </c>
      <c r="AT36" s="243">
        <f>$S15/'DATI (2)'!$E$14</f>
        <v>0</v>
      </c>
      <c r="AV36" s="242">
        <f>IF(AND($F36="E",$F15&gt;0),$R15/'DATI (2)'!$E$13,0)</f>
        <v>0</v>
      </c>
      <c r="AW36" s="244">
        <f>IF(AND($F36="E",$F15&gt;0),$Z36,0)</f>
        <v>0</v>
      </c>
      <c r="AX36" s="242">
        <f>IF(AND($F36="E",$F15=0),$R15/'DATI (2)'!$E$13,0)</f>
        <v>0</v>
      </c>
      <c r="AY36" s="244">
        <f>IF(AND($F36="E",$F15=0,R15&gt;0),$Z36*$BT36,0)</f>
        <v>0</v>
      </c>
      <c r="AZ36" s="242">
        <f>IF(AND($F36="E"),$S15/'DATI (2)'!$E$13,0)</f>
        <v>0</v>
      </c>
      <c r="BA36" s="244">
        <f>IF(AND($F36="E",$S15&gt;0),$Z36*$BU36,0)</f>
        <v>0</v>
      </c>
      <c r="BC36" s="242">
        <f>IF(AND(OR($F36="B",$F36="C"),$F15&gt;0),$R15/'DATI (2)'!$E$13,0)</f>
        <v>0</v>
      </c>
      <c r="BD36" s="244">
        <f>IF(AND(AND(OR($F36="B",$F36="C")),$F15&gt;0),$Z36,0)</f>
        <v>0</v>
      </c>
      <c r="BE36" s="242">
        <f>IF(AND(OR($F36="B",$F36="C"),$F15=0),$R15/'DATI (2)'!$E$13,0)</f>
        <v>0</v>
      </c>
      <c r="BF36" s="244">
        <f>IF(AND((OR($F36="B",$F36="C")),$F15=0,R15&gt;0),$Z36*$BT36,0)</f>
        <v>0</v>
      </c>
      <c r="BG36" s="242">
        <f>IF(AND(OR($F36="B",$F36="C")),$S15/'DATI (2)'!$E$13,0)</f>
        <v>0</v>
      </c>
      <c r="BH36" s="244">
        <f>IF(AND((OR($F36="B",$F36="C")),$S15&gt;0),$Z36*$BU36,0)</f>
        <v>0</v>
      </c>
      <c r="BJ36" s="242">
        <f>IF(AND($F36="A",$F15&gt;0),$R15/'DATI (2)'!$E$13,0)</f>
        <v>0</v>
      </c>
      <c r="BK36" s="244">
        <f>IF(AND($F36="a",$F15&gt;0),$Z36,0)</f>
        <v>0</v>
      </c>
      <c r="BL36" s="242">
        <f>IF(AND($F36="A",$F15=0),$R15/'DATI (2)'!$E$13,0)</f>
        <v>0</v>
      </c>
      <c r="BM36" s="244">
        <f>IF(AND($F36="a",$F15=0,R15&gt;0),$Z36*$BT36,0)</f>
        <v>0</v>
      </c>
      <c r="BN36" s="242">
        <f>IF(AND($F36="A"),$S15/'DATI (2)'!$E$13,0)</f>
        <v>0</v>
      </c>
      <c r="BO36" s="244">
        <f>IF(AND($F36="a",$S15&gt;0),$Z36*$BU36,0)</f>
        <v>0</v>
      </c>
      <c r="BQ36" s="245">
        <f>Q15</f>
        <v>0</v>
      </c>
      <c r="BR36" s="245">
        <f>R15/'DATI (2)'!$E$13</f>
        <v>0</v>
      </c>
      <c r="BS36" s="245">
        <f>S15/'DATI (2)'!$E$14</f>
        <v>0</v>
      </c>
      <c r="BT36" s="245" t="e">
        <f>BR36/BQ36</f>
        <v>#DIV/0!</v>
      </c>
      <c r="BU36" s="245" t="e">
        <f>BS36/BQ36</f>
        <v>#DIV/0!</v>
      </c>
      <c r="BW36" s="68">
        <f>IF(F36="E",$Q$41*G36/$AI$41,0)</f>
        <v>0</v>
      </c>
    </row>
    <row r="37" spans="4:75" ht="19.5" customHeight="1">
      <c r="D37" s="246">
        <f>D16</f>
        <v>0</v>
      </c>
      <c r="E37" s="247">
        <f>F16</f>
        <v>0</v>
      </c>
      <c r="F37" s="248">
        <f>N16</f>
        <v>0</v>
      </c>
      <c r="G37" s="249">
        <f>Q16</f>
        <v>0</v>
      </c>
      <c r="H37" s="250">
        <f>AC16</f>
        <v>0</v>
      </c>
      <c r="I37" s="250"/>
      <c r="J37" s="250"/>
      <c r="K37" s="251">
        <f>(H37)*0.1</f>
        <v>0</v>
      </c>
      <c r="L37" s="251"/>
      <c r="M37" s="252">
        <f>IF($C$5="s",IF(SUM($H$41)&lt;=1000000,SUM(H37)*0.02,SUM(H37)*0.01),0)</f>
        <v>0</v>
      </c>
      <c r="N37" s="252"/>
      <c r="O37" s="253">
        <f>(M37*(0.04))</f>
        <v>0</v>
      </c>
      <c r="P37" s="254">
        <f>(M37+O37)*0.22</f>
        <v>0</v>
      </c>
      <c r="Q37" s="255">
        <f>IF(F37="E",G37*12,0)</f>
        <v>0</v>
      </c>
      <c r="R37" s="256">
        <f>BW37*0.22</f>
        <v>0</v>
      </c>
      <c r="S37" s="257">
        <f>IF(F37="E",H37*1.5%,0)</f>
        <v>0</v>
      </c>
      <c r="T37" s="258">
        <f>S37*0.02</f>
        <v>0</v>
      </c>
      <c r="U37" s="259">
        <f>(S37+T37)*0.22</f>
        <v>0</v>
      </c>
      <c r="V37" s="255">
        <f>H37*0.15</f>
        <v>0</v>
      </c>
      <c r="W37" s="253">
        <f>V37*0.04</f>
        <v>0</v>
      </c>
      <c r="X37" s="260">
        <f>0.22*(W37+V37)</f>
        <v>0</v>
      </c>
      <c r="Y37" s="261">
        <f>SUM(K37:X37)-Q37+BW37</f>
        <v>0</v>
      </c>
      <c r="Z37" s="262">
        <f>Y37+H37</f>
        <v>0</v>
      </c>
      <c r="AA37" s="262"/>
      <c r="AB37" s="240"/>
      <c r="AC37" s="240"/>
      <c r="AF37" s="151"/>
      <c r="AG37" s="151"/>
      <c r="AH37" s="241">
        <f>IF($N16="E",$T16,0)</f>
        <v>0</v>
      </c>
      <c r="AI37" s="241">
        <f>IF(OR($F37="E",$F37="E"),$G37,0)</f>
        <v>0</v>
      </c>
      <c r="AJ37" s="241">
        <f>IF(OR($F37="B",$F37="C"),$G37,0)</f>
        <v>0</v>
      </c>
      <c r="AK37" s="241">
        <f>IF($F37="A",$G37,0)</f>
        <v>0</v>
      </c>
      <c r="AL37" s="241">
        <f>IF($N16="A",$F16,0)</f>
        <v>0</v>
      </c>
      <c r="AM37" s="241">
        <f>IF(AND($F37="A",$F16&gt;0),$G37,0)</f>
        <v>0</v>
      </c>
      <c r="AN37" s="241">
        <f>IF($F16&gt;0,$G37,0)</f>
        <v>0</v>
      </c>
      <c r="AQ37" s="242">
        <f>IF($N16="E",$R16/'DATI (2)'!$E$13,0)</f>
        <v>0</v>
      </c>
      <c r="AR37" s="242">
        <f>IF($N16="E",$S16/'DATI (2)'!$E$14,0)</f>
        <v>0</v>
      </c>
      <c r="AS37" s="243">
        <f>($R16)/'DATI (2)'!$E$13</f>
        <v>0</v>
      </c>
      <c r="AT37" s="243">
        <f>$S16/'DATI (2)'!$E$14</f>
        <v>0</v>
      </c>
      <c r="AV37" s="242">
        <f>IF(AND($F37="E",$F16&gt;0),$R16/'DATI (2)'!$E$13,0)</f>
        <v>0</v>
      </c>
      <c r="AW37" s="244">
        <f>IF(AND($F37="E",$F16&gt;0),$Z37,0)</f>
        <v>0</v>
      </c>
      <c r="AX37" s="242">
        <f>IF(AND($F37="E",$F16=0),$R16/'DATI (2)'!$E$13,0)</f>
        <v>0</v>
      </c>
      <c r="AY37" s="244">
        <f>IF(AND($F37="E",$F16=0,R16&gt;0),$Z37*$BT37,0)</f>
        <v>0</v>
      </c>
      <c r="AZ37" s="242">
        <f>IF(AND($F37="E"),$S16/'DATI (2)'!$E$13,0)</f>
        <v>0</v>
      </c>
      <c r="BA37" s="244">
        <f>IF(AND($F37="E",$S16&gt;0),$Z37*$BU37,0)</f>
        <v>0</v>
      </c>
      <c r="BC37" s="242">
        <f>IF(AND(OR($F37="B",$F37="C"),$F16&gt;0),$R16/'DATI (2)'!$E$13,0)</f>
        <v>0</v>
      </c>
      <c r="BD37" s="244">
        <f>IF(AND(AND(OR($F37="B",$F37="C")),$F16&gt;0),$Z37,0)</f>
        <v>0</v>
      </c>
      <c r="BE37" s="242">
        <f>IF(AND(OR($F37="B",$F37="C"),$F16=0),$R16/'DATI (2)'!$E$13,0)</f>
        <v>0</v>
      </c>
      <c r="BF37" s="244">
        <f>IF(AND((OR($F37="B",$F37="C")),$F16=0,R16&gt;0),$Z37*$BT37,0)</f>
        <v>0</v>
      </c>
      <c r="BG37" s="242">
        <f>IF(AND(OR($F37="B",$F37="C")),$S16/'DATI (2)'!$E$13,0)</f>
        <v>0</v>
      </c>
      <c r="BH37" s="244">
        <f>IF(AND((OR($F37="B",$F37="C")),$S16&gt;0),$Z37*$BU37,0)</f>
        <v>0</v>
      </c>
      <c r="BJ37" s="242">
        <f>IF(AND($F37="A",$F16&gt;0),$R16/'DATI (2)'!$E$13,0)</f>
        <v>0</v>
      </c>
      <c r="BK37" s="244">
        <f>IF(AND($F37="a",$F16&gt;0),$Z37,0)</f>
        <v>0</v>
      </c>
      <c r="BL37" s="242">
        <f>IF(AND($F37="A",$F16=0),$R16/'DATI (2)'!$E$13,0)</f>
        <v>0</v>
      </c>
      <c r="BM37" s="244">
        <f>IF(AND($F37="a",$F16=0,R16&gt;0),$Z37*$BT37,0)</f>
        <v>0</v>
      </c>
      <c r="BN37" s="242">
        <f>IF(AND($F37="A"),$S16/'DATI (2)'!$E$13,0)</f>
        <v>0</v>
      </c>
      <c r="BO37" s="244">
        <f>IF(AND($F37="a",$S16&gt;0),$Z37*$BU37,0)</f>
        <v>0</v>
      </c>
      <c r="BQ37" s="245">
        <f>Q16</f>
        <v>0</v>
      </c>
      <c r="BR37" s="245">
        <f>R16/'DATI (2)'!$E$13</f>
        <v>0</v>
      </c>
      <c r="BS37" s="245">
        <f>S16/'DATI (2)'!$E$14</f>
        <v>0</v>
      </c>
      <c r="BT37" s="245" t="e">
        <f>BR37/BQ37</f>
        <v>#DIV/0!</v>
      </c>
      <c r="BU37" s="245" t="e">
        <f>BS37/BQ37</f>
        <v>#DIV/0!</v>
      </c>
      <c r="BW37" s="68">
        <f>IF(F37="E",$Q$41*G37/$AI$41,0)</f>
        <v>0</v>
      </c>
    </row>
    <row r="38" spans="4:75" ht="19.5" customHeight="1">
      <c r="D38" s="246">
        <f>D17</f>
        <v>0</v>
      </c>
      <c r="E38" s="247">
        <f>F17</f>
        <v>0</v>
      </c>
      <c r="F38" s="248">
        <f>N17</f>
        <v>0</v>
      </c>
      <c r="G38" s="249">
        <f>Q17</f>
        <v>0</v>
      </c>
      <c r="H38" s="250">
        <f>AC17</f>
        <v>0</v>
      </c>
      <c r="I38" s="250"/>
      <c r="J38" s="250"/>
      <c r="K38" s="251">
        <f>(H38)*0.1</f>
        <v>0</v>
      </c>
      <c r="L38" s="251"/>
      <c r="M38" s="252">
        <f>IF($C$5="s",IF(SUM($H$41)&lt;=1000000,SUM(H38)*0.02,SUM(H38)*0.01),0)</f>
        <v>0</v>
      </c>
      <c r="N38" s="252"/>
      <c r="O38" s="253">
        <f>(M38*(0.04))</f>
        <v>0</v>
      </c>
      <c r="P38" s="254">
        <f>(M38+O38)*0.22</f>
        <v>0</v>
      </c>
      <c r="Q38" s="255">
        <f>IF(F38="E",G38*12,0)</f>
        <v>0</v>
      </c>
      <c r="R38" s="256">
        <f>BW38*0.22</f>
        <v>0</v>
      </c>
      <c r="S38" s="257"/>
      <c r="T38" s="258"/>
      <c r="U38" s="259">
        <f>(S38+T38)*0.22</f>
        <v>0</v>
      </c>
      <c r="V38" s="255">
        <f>H38*0.15</f>
        <v>0</v>
      </c>
      <c r="W38" s="253">
        <f>V38*0.04</f>
        <v>0</v>
      </c>
      <c r="X38" s="260">
        <f>0.22*(W38+V38)</f>
        <v>0</v>
      </c>
      <c r="Y38" s="261">
        <f>SUM(K38:X38)-Q38+BW38</f>
        <v>0</v>
      </c>
      <c r="Z38" s="262">
        <f>Y38+H38</f>
        <v>0</v>
      </c>
      <c r="AA38" s="262"/>
      <c r="AB38" s="240"/>
      <c r="AC38" s="240"/>
      <c r="AF38" s="151"/>
      <c r="AG38" s="151"/>
      <c r="AH38" s="241">
        <f>IF($N17="E",$T17,0)</f>
        <v>0</v>
      </c>
      <c r="AI38" s="241">
        <f>IF(OR($F38="E",$F38="E"),$G38,0)</f>
        <v>0</v>
      </c>
      <c r="AJ38" s="241">
        <f>IF(OR($F38="B",$F38="C"),$G38,0)</f>
        <v>0</v>
      </c>
      <c r="AK38" s="241">
        <f>IF($F38="A",$G38,0)</f>
        <v>0</v>
      </c>
      <c r="AL38" s="241">
        <f>IF($N17="A",$F17,0)</f>
        <v>0</v>
      </c>
      <c r="AM38" s="241">
        <f>IF(AND($F38="A",$F17&gt;0),$G38,0)</f>
        <v>0</v>
      </c>
      <c r="AN38" s="241">
        <f>IF($F17&gt;0,$G38,0)</f>
        <v>0</v>
      </c>
      <c r="AQ38" s="242">
        <f>IF($N17="E",$R17/'DATI (2)'!$E$13,0)</f>
        <v>0</v>
      </c>
      <c r="AR38" s="242">
        <f>IF($N17="E",$S17/'DATI (2)'!$E$14,0)</f>
        <v>0</v>
      </c>
      <c r="AS38" s="243">
        <f>($R17)/'DATI (2)'!$E$13</f>
        <v>0</v>
      </c>
      <c r="AT38" s="243">
        <f>$S17/'DATI (2)'!$E$14</f>
        <v>0</v>
      </c>
      <c r="AV38" s="242">
        <f>IF(AND($F38="E",$F17&gt;0),$R17/'DATI (2)'!$E$13,0)</f>
        <v>0</v>
      </c>
      <c r="AW38" s="244">
        <f>IF(AND($F38="E",$F17&gt;0),$Z38,0)</f>
        <v>0</v>
      </c>
      <c r="AX38" s="242">
        <f>IF(AND($F38="E",$F17=0),$R17/'DATI (2)'!$E$13,0)</f>
        <v>0</v>
      </c>
      <c r="AY38" s="244">
        <f>IF(AND($F38="E",$F17=0,R17&gt;0),$Z38*$BT38,0)</f>
        <v>0</v>
      </c>
      <c r="AZ38" s="242">
        <f>IF(AND($F38="E"),$S17/'DATI (2)'!$E$13,0)</f>
        <v>0</v>
      </c>
      <c r="BA38" s="244">
        <f>IF(AND($F38="E",$S17&gt;0),$Z38*$BU38,0)</f>
        <v>0</v>
      </c>
      <c r="BC38" s="242">
        <f>IF(AND(OR($F38="B",$F38="C"),$F17&gt;0),$R17/'DATI (2)'!$E$13,0)</f>
        <v>0</v>
      </c>
      <c r="BD38" s="244">
        <f>IF(AND(AND(OR($F38="B",$F38="C")),$F17&gt;0),$Z38,0)</f>
        <v>0</v>
      </c>
      <c r="BE38" s="242">
        <f>IF(AND(OR($F38="B",$F38="C"),$F17=0),$R17/'DATI (2)'!$E$13,0)</f>
        <v>0</v>
      </c>
      <c r="BF38" s="244">
        <f>IF(AND((OR($F38="B",$F38="C")),$F17=0,R17&gt;0),$Z38*$BT38,0)</f>
        <v>0</v>
      </c>
      <c r="BG38" s="242">
        <f>IF(AND(OR($F38="B",$F38="C")),$S17/'DATI (2)'!$E$13,0)</f>
        <v>0</v>
      </c>
      <c r="BH38" s="244">
        <f>IF(AND((OR($F38="B",$F38="C")),$S17&gt;0),$Z38*$BU38,0)</f>
        <v>0</v>
      </c>
      <c r="BJ38" s="242">
        <f>IF(AND($F38="A",$F17&gt;0),$R17/'DATI (2)'!$E$13,0)</f>
        <v>0</v>
      </c>
      <c r="BK38" s="244">
        <f>IF(AND($F38="a",$F17&gt;0),$Z38,0)</f>
        <v>0</v>
      </c>
      <c r="BL38" s="242">
        <f>IF(AND($F38="A",$F17=0),$R17/'DATI (2)'!$E$13,0)</f>
        <v>0</v>
      </c>
      <c r="BM38" s="244">
        <f>IF(AND($F38="a",$F17=0,R17&gt;0),$Z38*$BT38,0)</f>
        <v>0</v>
      </c>
      <c r="BN38" s="242">
        <f>IF(AND($F38="A"),$S17/'DATI (2)'!$E$13,0)</f>
        <v>0</v>
      </c>
      <c r="BO38" s="244">
        <f>IF(AND($F38="a",$S17&gt;0),$Z38*$BU38,0)</f>
        <v>0</v>
      </c>
      <c r="BQ38" s="245">
        <f>Q17</f>
        <v>0</v>
      </c>
      <c r="BR38" s="245">
        <f>R17/'DATI (2)'!$E$13</f>
        <v>0</v>
      </c>
      <c r="BS38" s="245">
        <f>S17/'DATI (2)'!$E$14</f>
        <v>0</v>
      </c>
      <c r="BT38" s="245" t="e">
        <f>BR38/BQ38</f>
        <v>#DIV/0!</v>
      </c>
      <c r="BU38" s="245" t="e">
        <f>BS38/BQ38</f>
        <v>#DIV/0!</v>
      </c>
      <c r="BW38" s="68">
        <f>IF(F38="E",$Q$41*G38/$AI$41,0)</f>
        <v>0</v>
      </c>
    </row>
    <row r="39" spans="4:75" ht="19.5" customHeight="1">
      <c r="D39" s="246">
        <f>D18</f>
        <v>0</v>
      </c>
      <c r="E39" s="247">
        <f>F18</f>
        <v>0</v>
      </c>
      <c r="F39" s="248">
        <f>N18</f>
        <v>0</v>
      </c>
      <c r="G39" s="249">
        <f>Q18</f>
        <v>0</v>
      </c>
      <c r="H39" s="250">
        <f>AC18</f>
        <v>0</v>
      </c>
      <c r="I39" s="250"/>
      <c r="J39" s="250"/>
      <c r="K39" s="251">
        <f>(H39)*0.1</f>
        <v>0</v>
      </c>
      <c r="L39" s="251"/>
      <c r="M39" s="252">
        <f>IF($C$5="s",IF(SUM($H$41)&lt;=1000000,SUM(H39)*0.02,SUM(H39)*0.01),0)</f>
        <v>0</v>
      </c>
      <c r="N39" s="252"/>
      <c r="O39" s="253">
        <f>(M39*(0.04))</f>
        <v>0</v>
      </c>
      <c r="P39" s="254">
        <f>(M39+O39)*0.22</f>
        <v>0</v>
      </c>
      <c r="Q39" s="255">
        <f>IF(F39="E",G39*12,0)</f>
        <v>0</v>
      </c>
      <c r="R39" s="256">
        <f>BW39*0.22</f>
        <v>0</v>
      </c>
      <c r="S39" s="257">
        <f>IF(F39="E",H39*1.5%,0)</f>
        <v>0</v>
      </c>
      <c r="T39" s="258">
        <f>S39*0.02</f>
        <v>0</v>
      </c>
      <c r="U39" s="259">
        <f>(S39+T39)*0.22</f>
        <v>0</v>
      </c>
      <c r="V39" s="255">
        <f>H39*0.15</f>
        <v>0</v>
      </c>
      <c r="W39" s="253">
        <f>V39*0.04</f>
        <v>0</v>
      </c>
      <c r="X39" s="260">
        <f>0.22*(W39+V39)</f>
        <v>0</v>
      </c>
      <c r="Y39" s="261">
        <f>SUM(K39:X39)-Q39+BW39</f>
        <v>0</v>
      </c>
      <c r="Z39" s="262">
        <f>Y39+H39</f>
        <v>0</v>
      </c>
      <c r="AA39" s="262"/>
      <c r="AB39" s="240"/>
      <c r="AC39" s="240"/>
      <c r="AF39" s="151"/>
      <c r="AG39" s="151"/>
      <c r="AH39" s="241">
        <f>IF($N18="E",$T18,0)</f>
        <v>0</v>
      </c>
      <c r="AI39" s="241">
        <f>IF(OR($F39="E",$F39="E"),$G39,0)</f>
        <v>0</v>
      </c>
      <c r="AJ39" s="241">
        <f>IF(OR($F39="B",$F39="C"),$G39,0)</f>
        <v>0</v>
      </c>
      <c r="AK39" s="241">
        <f>IF($F39="A",$G39,0)</f>
        <v>0</v>
      </c>
      <c r="AL39" s="241">
        <f>IF($N18="A",$F18,0)</f>
        <v>0</v>
      </c>
      <c r="AM39" s="241">
        <f>IF(AND($F39="A",$F18&gt;0),$G39,0)</f>
        <v>0</v>
      </c>
      <c r="AN39" s="241">
        <f>IF($F18&gt;0,$G39,0)</f>
        <v>0</v>
      </c>
      <c r="AQ39" s="242">
        <f>IF($N18="E",$R18/'DATI (2)'!$E$13,0)</f>
        <v>0</v>
      </c>
      <c r="AR39" s="242">
        <f>IF($N18="E",$S18/'DATI (2)'!$E$14,0)</f>
        <v>0</v>
      </c>
      <c r="AS39" s="243">
        <f>($R18)/'DATI (2)'!$E$13</f>
        <v>0</v>
      </c>
      <c r="AT39" s="243">
        <f>$S18/'DATI (2)'!$E$14</f>
        <v>0</v>
      </c>
      <c r="AV39" s="242">
        <f>IF(AND($F39="E",$F18&gt;0),$R18/'DATI (2)'!$E$13,0)</f>
        <v>0</v>
      </c>
      <c r="AW39" s="244">
        <f>IF(AND($F39="E",$F18&gt;0),$Z39,0)</f>
        <v>0</v>
      </c>
      <c r="AX39" s="242">
        <f>IF(AND($F39="E",$F18=0),$R18/'DATI (2)'!$E$13,0)</f>
        <v>0</v>
      </c>
      <c r="AY39" s="244">
        <f>IF(AND($F39="E",$F18=0,R18&gt;0),$Z39*$BT39,0)</f>
        <v>0</v>
      </c>
      <c r="AZ39" s="242">
        <f>IF(AND($F39="E"),$S18/'DATI (2)'!$E$13,0)</f>
        <v>0</v>
      </c>
      <c r="BA39" s="244">
        <f>IF(AND($F39="E",$S18&gt;0),$Z39*$BU39,0)</f>
        <v>0</v>
      </c>
      <c r="BC39" s="242">
        <f>IF(AND(OR($F39="B",$F39="C"),$F18&gt;0),$R18/'DATI (2)'!$E$13,0)</f>
        <v>0</v>
      </c>
      <c r="BD39" s="244">
        <f>IF(AND(AND(OR($F39="B",$F39="C")),$F18&gt;0),$Z39,0)</f>
        <v>0</v>
      </c>
      <c r="BE39" s="242">
        <f>IF(AND(OR($F39="B",$F39="C"),$F18=0),$R18/'DATI (2)'!$E$13,0)</f>
        <v>0</v>
      </c>
      <c r="BF39" s="244">
        <f>IF(AND((OR($F39="B",$F39="C")),$F18=0,R18&gt;0),$Z39*$BT39,0)</f>
        <v>0</v>
      </c>
      <c r="BG39" s="242">
        <f>IF(AND(OR($F39="B",$F39="C")),$S18/'DATI (2)'!$E$13,0)</f>
        <v>0</v>
      </c>
      <c r="BH39" s="244">
        <f>IF(AND((OR($F39="B",$F39="C")),$S18&gt;0),$Z39*$BU39,0)</f>
        <v>0</v>
      </c>
      <c r="BJ39" s="242">
        <f>IF(AND($F39="A",$F18&gt;0),$R18/'DATI (2)'!$E$13,0)</f>
        <v>0</v>
      </c>
      <c r="BK39" s="244">
        <f>IF(AND($F39="a",$F18&gt;0),$Z39,0)</f>
        <v>0</v>
      </c>
      <c r="BL39" s="242">
        <f>IF(AND($F39="A",$F18=0),$R18/'DATI (2)'!$E$13,0)</f>
        <v>0</v>
      </c>
      <c r="BM39" s="244">
        <f>IF(AND($F39="a",$F18=0,R18&gt;0),$Z39*$BT39,0)</f>
        <v>0</v>
      </c>
      <c r="BN39" s="242">
        <f>IF(AND($F39="A"),$S18/'DATI (2)'!$E$13,0)</f>
        <v>0</v>
      </c>
      <c r="BO39" s="244">
        <f>IF(AND($F39="a",$S18&gt;0),$Z39*$BU39,0)</f>
        <v>0</v>
      </c>
      <c r="BQ39" s="245">
        <f>Q18</f>
        <v>0</v>
      </c>
      <c r="BR39" s="245">
        <f>R18/'DATI (2)'!$E$13</f>
        <v>0</v>
      </c>
      <c r="BS39" s="245">
        <f>S18/'DATI (2)'!$E$14</f>
        <v>0</v>
      </c>
      <c r="BT39" s="245" t="e">
        <f>BR39/BQ39</f>
        <v>#DIV/0!</v>
      </c>
      <c r="BU39" s="245" t="e">
        <f>BS39/BQ39</f>
        <v>#DIV/0!</v>
      </c>
      <c r="BW39" s="68">
        <f>IF(F39="E",$Q$41*G39/$AI$41,0)</f>
        <v>0</v>
      </c>
    </row>
    <row r="40" spans="4:75" ht="19.5" customHeight="1">
      <c r="D40" s="265"/>
      <c r="E40" s="266"/>
      <c r="F40" s="267"/>
      <c r="G40" s="268"/>
      <c r="H40" s="269">
        <f>AC19</f>
        <v>0</v>
      </c>
      <c r="I40" s="269"/>
      <c r="J40" s="269"/>
      <c r="K40" s="270">
        <f>(H40)*0.1</f>
        <v>0</v>
      </c>
      <c r="L40" s="270"/>
      <c r="M40" s="271">
        <f>IF($C$5="s",IF(SUM($H$41)&lt;=1000000,SUM(H40)*0.02,SUM(H40)*0.01),0)</f>
        <v>0</v>
      </c>
      <c r="N40" s="271"/>
      <c r="O40" s="272">
        <f>(M40*(0.04))</f>
        <v>0</v>
      </c>
      <c r="P40" s="273">
        <f>(M40+O40)*0.22</f>
        <v>0</v>
      </c>
      <c r="Q40" s="274">
        <f>IF(F40="E",G40*12,0)</f>
        <v>0</v>
      </c>
      <c r="R40" s="275">
        <f>BW40*0.22</f>
        <v>0</v>
      </c>
      <c r="S40" s="299">
        <f>IF(F40="E",H40*1.5%,0)</f>
        <v>0</v>
      </c>
      <c r="T40" s="300">
        <f>S40*0.02</f>
        <v>0</v>
      </c>
      <c r="U40" s="301">
        <f>(S40+T40)*0.22</f>
        <v>0</v>
      </c>
      <c r="V40" s="274">
        <f>H40*0.15</f>
        <v>0</v>
      </c>
      <c r="W40" s="272">
        <f>V40*0.04</f>
        <v>0</v>
      </c>
      <c r="X40" s="276">
        <f>0.22*(W40+V40)</f>
        <v>0</v>
      </c>
      <c r="Y40" s="277">
        <f>SUM(K40:X40)-Q40+BW40</f>
        <v>0</v>
      </c>
      <c r="Z40" s="278">
        <f>Y40+H40</f>
        <v>0</v>
      </c>
      <c r="AA40" s="278"/>
      <c r="AB40" s="240"/>
      <c r="AC40" s="240"/>
      <c r="AF40" s="151"/>
      <c r="AG40" s="151"/>
      <c r="AH40" s="279">
        <f>IF($N19="E",$T19,0)</f>
        <v>0</v>
      </c>
      <c r="AI40" s="241">
        <f>IF(OR($F40="E",$F40="E"),$G40,0)</f>
        <v>0</v>
      </c>
      <c r="AJ40" s="279">
        <f>IF(OR($F40="B",$F40="C"),$G40,0)</f>
        <v>0</v>
      </c>
      <c r="AK40" s="279">
        <f>IF($F40="A",$G40,0)</f>
        <v>0</v>
      </c>
      <c r="AL40" s="279">
        <f>IF($N19="A",$F19,0)</f>
        <v>0</v>
      </c>
      <c r="AM40" s="241">
        <f>IF(AND($F40="A",$F19&gt;0),$G40,0)</f>
        <v>0</v>
      </c>
      <c r="AN40" s="241">
        <f>IF($F19&gt;0,$G40,0)</f>
        <v>0</v>
      </c>
      <c r="AQ40" s="242">
        <f>IF($N19="E",$R19/'DATI (2)'!$E$13,0)</f>
        <v>0</v>
      </c>
      <c r="AR40" s="242">
        <f>IF($N19="E",$S19/'DATI (2)'!$E$14,0)</f>
        <v>0</v>
      </c>
      <c r="AS40" s="243">
        <f>($R19)/'DATI (2)'!$E$13</f>
        <v>0</v>
      </c>
      <c r="AT40" s="243">
        <f>$S19/'DATI (2)'!$E$14</f>
        <v>0</v>
      </c>
      <c r="AV40" s="242">
        <f>IF(AND($F40="E",$F19&gt;0),$R19/'DATI (2)'!$E$13,0)</f>
        <v>0</v>
      </c>
      <c r="AW40" s="244">
        <f>IF(AND($F40="E",$F19&gt;0),$Z40,0)</f>
        <v>0</v>
      </c>
      <c r="AX40" s="242">
        <f>IF(AND($F40="E",$F19=0),$R19/'DATI (2)'!$E$13,0)</f>
        <v>0</v>
      </c>
      <c r="AY40" s="244">
        <f>IF(AND($F40="E",$F19=0,R19&gt;0),$Z40*$BT40,0)</f>
        <v>0</v>
      </c>
      <c r="AZ40" s="242">
        <f>IF(AND($F40="E"),$S19/'DATI (2)'!$E$13,0)</f>
        <v>0</v>
      </c>
      <c r="BA40" s="244">
        <f>IF(AND($F40="E",$S19&gt;0),$Z40*$BU40,0)</f>
        <v>0</v>
      </c>
      <c r="BC40" s="242">
        <f>IF(AND(OR($F40="B",$F40="C"),$F19&gt;0),$R19/'DATI (2)'!$E$13,0)</f>
        <v>0</v>
      </c>
      <c r="BD40" s="244">
        <f>IF(AND(AND(OR($F40="B",$F40="C")),$F19&gt;0),$Z40,0)</f>
        <v>0</v>
      </c>
      <c r="BE40" s="242">
        <f>IF(AND(OR($F40="B",$F40="C"),$F19=0),$R19/'DATI (2)'!$E$13,0)</f>
        <v>0</v>
      </c>
      <c r="BF40" s="244">
        <f>IF(AND((OR($F40="B",$F40="C")),$F19=0,R19&gt;0),$Z40*$BT40,0)</f>
        <v>0</v>
      </c>
      <c r="BG40" s="242">
        <f>IF(AND(OR($F40="B",$F40="C")),$S19/'DATI (2)'!$E$13,0)</f>
        <v>0</v>
      </c>
      <c r="BH40" s="244">
        <f>IF(AND((OR($F40="B",$F40="C")),$S19&gt;0),$Z40*$BU40,0)</f>
        <v>0</v>
      </c>
      <c r="BJ40" s="242">
        <f>IF(AND($F40="A",$F19&gt;0),$R19/'DATI (2)'!$E$13,0)</f>
        <v>0</v>
      </c>
      <c r="BK40" s="244">
        <f>IF(AND($F40="a",$F19&gt;0),$Z40,0)</f>
        <v>0</v>
      </c>
      <c r="BL40" s="242">
        <f>IF(AND($F40="A",$F19=0),$R19/'DATI (2)'!$E$13,0)</f>
        <v>0</v>
      </c>
      <c r="BM40" s="244">
        <f>IF(AND($F40="a",$F19=0,R19&gt;0),$Z40*$BT40,0)</f>
        <v>0</v>
      </c>
      <c r="BN40" s="242">
        <f>IF(AND($F40="A"),$S19/'DATI (2)'!$E$13,0)</f>
        <v>0</v>
      </c>
      <c r="BO40" s="244">
        <f>IF(AND($F40="a",$S19&gt;0),$Z40*$BU40,0)</f>
        <v>0</v>
      </c>
      <c r="BQ40" s="245">
        <f>Q19</f>
      </c>
      <c r="BR40" s="245">
        <f>R19/'DATI (2)'!$E$13</f>
        <v>0</v>
      </c>
      <c r="BS40" s="245">
        <f>S19/'DATI (2)'!$E$14</f>
        <v>0</v>
      </c>
      <c r="BT40" s="245" t="e">
        <f>BR40/BQ40</f>
        <v>#DIV/0!</v>
      </c>
      <c r="BU40" s="245" t="e">
        <f>BS40/BQ40</f>
        <v>#DIV/0!</v>
      </c>
      <c r="BW40" s="68">
        <f>IF(F40="E",$Q$41*G40/$AI$41,0)</f>
        <v>0</v>
      </c>
    </row>
    <row r="41" spans="4:75" s="196" customFormat="1" ht="21" customHeight="1">
      <c r="D41" s="280" t="s">
        <v>125</v>
      </c>
      <c r="E41" s="280"/>
      <c r="F41" s="280"/>
      <c r="G41" s="280"/>
      <c r="H41" s="281">
        <f>SUM(H26:H40)</f>
        <v>488748.8576</v>
      </c>
      <c r="I41" s="281"/>
      <c r="J41" s="281"/>
      <c r="K41" s="282">
        <f>SUM(K26:K40)</f>
        <v>48874.885760000005</v>
      </c>
      <c r="L41" s="282"/>
      <c r="M41" s="282">
        <f>SUM(M26:M40)</f>
        <v>9774.977152</v>
      </c>
      <c r="N41" s="282"/>
      <c r="O41" s="283">
        <f>SUM(O26:O40)</f>
        <v>390.99908608000004</v>
      </c>
      <c r="P41" s="283">
        <f>SUM(P26:P40)</f>
        <v>2236.5147723776004</v>
      </c>
      <c r="Q41" s="283">
        <f>IF(A5&gt;0,MIN(MAXA(5000,(SUM(Q26:Q40))),20000),0)</f>
        <v>5404.8</v>
      </c>
      <c r="R41" s="283">
        <f>Q41*0.22</f>
        <v>1189.056</v>
      </c>
      <c r="S41" s="283">
        <f>SUM(S26:S40)</f>
        <v>7331.232864</v>
      </c>
      <c r="T41" s="283">
        <f>SUM(T26:T40)</f>
        <v>146.62465728</v>
      </c>
      <c r="U41" s="283">
        <f>SUM(U26:U40)</f>
        <v>1645.1286546816</v>
      </c>
      <c r="V41" s="283">
        <f>SUM(V26:V40)</f>
        <v>73312.32864</v>
      </c>
      <c r="W41" s="283">
        <f>SUM(W26:W40)</f>
        <v>2932.4931456000004</v>
      </c>
      <c r="X41" s="283">
        <f>SUM(X26:X40)</f>
        <v>16773.860792832</v>
      </c>
      <c r="Y41" s="283">
        <f>SUM(Y26:Y40)</f>
        <v>170012.90152485122</v>
      </c>
      <c r="Z41" s="284">
        <f>SUM(Z26:AA40)</f>
        <v>658761.7591248513</v>
      </c>
      <c r="AA41" s="284"/>
      <c r="AB41" s="284"/>
      <c r="AC41" s="285"/>
      <c r="AF41" s="286"/>
      <c r="AG41" s="287" t="s">
        <v>125</v>
      </c>
      <c r="AH41" s="288">
        <f>SUM(AH26:AH40)</f>
        <v>382.84</v>
      </c>
      <c r="AI41" s="288">
        <f>SUM(AI26:AI40)</f>
        <v>450.4</v>
      </c>
      <c r="AJ41" s="288">
        <f>SUM(AJ26:AJ40)</f>
        <v>0</v>
      </c>
      <c r="AK41" s="288">
        <f>SUM(AK26:AK40)-AM41</f>
        <v>0</v>
      </c>
      <c r="AL41" s="288">
        <f>SUM(AL26:AL40)</f>
        <v>0</v>
      </c>
      <c r="AM41" s="288">
        <f>SUM(AM26:AM40)</f>
        <v>0</v>
      </c>
      <c r="AN41" s="288">
        <f>SUM(AN26:AN40)</f>
        <v>450.4</v>
      </c>
      <c r="AQ41" s="289">
        <f>SUM(AQ26:AQ40)</f>
        <v>450.4</v>
      </c>
      <c r="AR41" s="289">
        <f>SUM(AR26:AR40)</f>
        <v>0</v>
      </c>
      <c r="AS41" s="289">
        <f>SUM(AS26:AS40)</f>
        <v>450.4</v>
      </c>
      <c r="AT41" s="289">
        <f>SUM(AT26:AT40)</f>
        <v>0</v>
      </c>
      <c r="AU41" s="70"/>
      <c r="AV41" s="289">
        <f>SUM(AV26:AV40)</f>
        <v>450.4</v>
      </c>
      <c r="AW41" s="290">
        <f>SUM(AW26:AW40)</f>
        <v>658761.7591248513</v>
      </c>
      <c r="AX41" s="289">
        <f>SUM(AX26:AX40)</f>
        <v>0</v>
      </c>
      <c r="AY41" s="290">
        <f>SUM(AY26:AY40)</f>
        <v>0</v>
      </c>
      <c r="AZ41" s="289">
        <f>SUM(AZ26:AZ40)</f>
        <v>0</v>
      </c>
      <c r="BA41" s="290">
        <f>SUM(BA26:BA40)</f>
        <v>0</v>
      </c>
      <c r="BB41" s="68"/>
      <c r="BC41" s="289">
        <f>SUM(BC26:BC40)</f>
        <v>0</v>
      </c>
      <c r="BD41" s="290">
        <f>SUM(BD26:BD40)</f>
        <v>0</v>
      </c>
      <c r="BE41" s="289">
        <f>SUM(BE26:BE40)</f>
        <v>0</v>
      </c>
      <c r="BF41" s="290">
        <f>SUM(BF26:BF40)</f>
        <v>0</v>
      </c>
      <c r="BG41" s="289">
        <f>SUM(BG26:BG40)</f>
        <v>0</v>
      </c>
      <c r="BH41" s="289">
        <f>SUM(BH26:BH40)</f>
        <v>0</v>
      </c>
      <c r="BI41" s="68"/>
      <c r="BJ41" s="289">
        <f>SUM(BJ26:BJ40)</f>
        <v>0</v>
      </c>
      <c r="BK41" s="290">
        <f>SUM(BK26:BK40)</f>
        <v>0</v>
      </c>
      <c r="BL41" s="289">
        <f>SUM(BL26:BL40)</f>
        <v>0</v>
      </c>
      <c r="BM41" s="290">
        <f>SUM(BM26:BM40)</f>
        <v>0</v>
      </c>
      <c r="BN41" s="289">
        <f>SUM(BN26:BN40)</f>
        <v>0</v>
      </c>
      <c r="BO41" s="289">
        <f>SUM(BO26:BO40)</f>
        <v>0</v>
      </c>
      <c r="BW41" s="196">
        <f>SUM(BW26:BW40)</f>
        <v>5404.800000000001</v>
      </c>
    </row>
    <row r="42" spans="32:67" ht="12.75">
      <c r="AF42" s="291"/>
      <c r="AG42" s="292" t="s">
        <v>126</v>
      </c>
      <c r="AH42" s="293">
        <f>COUNTIF($N$5:$N$19,"E")</f>
        <v>2</v>
      </c>
      <c r="AI42" s="294">
        <f>COUNTIF($N$5:$N$19,"B")+COUNTIF($N$5:$N$19,"C")</f>
        <v>0</v>
      </c>
      <c r="AJ42" s="294">
        <f>COUNTIF($N$5:$N$19,"B")+COUNTIF($N$5:$N$19,"C")</f>
        <v>0</v>
      </c>
      <c r="AK42" s="294">
        <f>AK43-AL42</f>
        <v>0</v>
      </c>
      <c r="AL42" s="294">
        <f>SUM(AL26:AL40)</f>
        <v>0</v>
      </c>
      <c r="AM42" s="294">
        <f>SUM(AM26:AM40)</f>
        <v>0</v>
      </c>
      <c r="AN42" s="294">
        <f>SUM(AN26:AN40)</f>
        <v>450.4</v>
      </c>
      <c r="AQ42" s="295">
        <f>COUNTIF($P$4:$P$18,"E")</f>
        <v>0</v>
      </c>
      <c r="AR42" s="295"/>
      <c r="AS42" s="295">
        <f>COUNTIF($P$4:$P$18,"E")</f>
        <v>0</v>
      </c>
      <c r="AT42" s="295">
        <f>COUNTIF($P$4:$P$18,"E")</f>
        <v>0</v>
      </c>
      <c r="AV42" s="295">
        <f>COUNTIF(AV26:AV40,"&gt;0")</f>
        <v>2</v>
      </c>
      <c r="AW42" s="295"/>
      <c r="AX42" s="295">
        <f>COUNTIF(AX26:AX40,"&gt;0")</f>
        <v>0</v>
      </c>
      <c r="AY42" s="295"/>
      <c r="AZ42" s="295">
        <f>COUNTIF(AZ26:AZ40,"&gt;0")</f>
        <v>0</v>
      </c>
      <c r="BA42" s="295"/>
      <c r="BC42" s="295">
        <f>COUNTIF(BC26:BC40,"&gt;0")</f>
        <v>0</v>
      </c>
      <c r="BD42" s="295"/>
      <c r="BE42" s="295">
        <f>COUNTIF(BE26:BE40,"&gt;0")</f>
        <v>0</v>
      </c>
      <c r="BF42" s="295"/>
      <c r="BG42" s="295">
        <f>COUNTIF(BG26:BG40,"&gt;0")</f>
        <v>0</v>
      </c>
      <c r="BH42" s="295">
        <f>COUNTIF(BH26:BH40,"&gt;0")</f>
        <v>0</v>
      </c>
      <c r="BJ42" s="295">
        <f>COUNTIF(BJ26:BJ40,"&gt;0")</f>
        <v>0</v>
      </c>
      <c r="BK42" s="295"/>
      <c r="BL42" s="295">
        <f>COUNTIF(BL26:BL40,"&gt;0")</f>
        <v>0</v>
      </c>
      <c r="BM42" s="295"/>
      <c r="BN42" s="295">
        <f>COUNTIF(BN26:BN40,"&gt;0")</f>
        <v>0</v>
      </c>
      <c r="BO42" s="295">
        <f>COUNTIF(BO26:BO40,"&gt;0")</f>
        <v>0</v>
      </c>
    </row>
    <row r="43" spans="4:39" ht="12.75">
      <c r="D43" s="68" t="s">
        <v>127</v>
      </c>
      <c r="AF43" s="151"/>
      <c r="AG43" s="151"/>
      <c r="AH43" s="151"/>
      <c r="AI43" s="296" t="s">
        <v>128</v>
      </c>
      <c r="AJ43" s="296" t="s">
        <v>128</v>
      </c>
      <c r="AK43" s="297">
        <f>COUNTIF($N$5:$N$19,"A")</f>
        <v>0</v>
      </c>
      <c r="AL43" s="151"/>
      <c r="AM43" s="151"/>
    </row>
    <row r="44" spans="4:39" ht="12.75">
      <c r="D44" s="68" t="s">
        <v>129</v>
      </c>
      <c r="AF44" s="151"/>
      <c r="AG44" s="151"/>
      <c r="AH44" s="151"/>
      <c r="AI44" s="296" t="s">
        <v>128</v>
      </c>
      <c r="AJ44" s="296" t="s">
        <v>128</v>
      </c>
      <c r="AK44" s="294">
        <f>SUM(AK26:AK40)</f>
        <v>0</v>
      </c>
      <c r="AL44" s="151"/>
      <c r="AM44" s="151"/>
    </row>
    <row r="45" spans="4:64" ht="12.75">
      <c r="D45" s="68" t="s">
        <v>130</v>
      </c>
      <c r="AF45" s="151"/>
      <c r="AG45" s="151"/>
      <c r="AH45" s="151"/>
      <c r="AI45" s="68" t="s">
        <v>131</v>
      </c>
      <c r="AJ45" s="151"/>
      <c r="AK45" s="294">
        <f>(SUM(S5:S19)/'DATI (2)'!$E$14)</f>
        <v>0</v>
      </c>
      <c r="AL45" s="151"/>
      <c r="AM45" s="151"/>
      <c r="BJ45" s="264">
        <f>$BM$41+$BK$41+$BO$41+$BH$41+$BF$41+$BD$41+$BA$41+$AY$41+$AW$41</f>
        <v>658761.7591248513</v>
      </c>
      <c r="BK45" s="264">
        <f>$Z$41</f>
        <v>658761.7591248513</v>
      </c>
      <c r="BL45" s="264">
        <f>BJ45-BK45</f>
        <v>0</v>
      </c>
    </row>
    <row r="46" spans="20:42" ht="12.75">
      <c r="T46" s="198"/>
      <c r="AF46" s="151"/>
      <c r="AG46" s="151"/>
      <c r="AH46" s="151"/>
      <c r="AI46" s="151"/>
      <c r="AJ46" s="151"/>
      <c r="AK46" s="151"/>
      <c r="AL46" s="151"/>
      <c r="AM46" s="71"/>
      <c r="AN46" s="71"/>
      <c r="AO46" s="71"/>
      <c r="AP46" s="71"/>
    </row>
    <row r="47" spans="32:42" ht="12.75"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</row>
    <row r="48" spans="32:42" ht="12.75"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</row>
    <row r="49" spans="32:42" ht="12.75"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</row>
  </sheetData>
  <sheetProtection selectLockedCells="1" selectUnlockedCells="1"/>
  <mergeCells count="78">
    <mergeCell ref="D3:T3"/>
    <mergeCell ref="U3:AC3"/>
    <mergeCell ref="D24:X24"/>
    <mergeCell ref="Y24:AC24"/>
    <mergeCell ref="AI24:AK24"/>
    <mergeCell ref="AL24:AM24"/>
    <mergeCell ref="AV24:BO24"/>
    <mergeCell ref="H25:J25"/>
    <mergeCell ref="K25:L25"/>
    <mergeCell ref="M25:N25"/>
    <mergeCell ref="Z25:AA25"/>
    <mergeCell ref="AB25:AC25"/>
    <mergeCell ref="H26:J26"/>
    <mergeCell ref="K26:L26"/>
    <mergeCell ref="M26:N26"/>
    <mergeCell ref="Z26:AA26"/>
    <mergeCell ref="AB26:AC40"/>
    <mergeCell ref="H27:J27"/>
    <mergeCell ref="K27:L27"/>
    <mergeCell ref="M27:N27"/>
    <mergeCell ref="Z27:AA27"/>
    <mergeCell ref="H28:J28"/>
    <mergeCell ref="K28:L28"/>
    <mergeCell ref="M28:N28"/>
    <mergeCell ref="Z28:AA28"/>
    <mergeCell ref="H29:J29"/>
    <mergeCell ref="K29:L29"/>
    <mergeCell ref="M29:N29"/>
    <mergeCell ref="Z29:AA29"/>
    <mergeCell ref="H30:J30"/>
    <mergeCell ref="K30:L30"/>
    <mergeCell ref="M30:N30"/>
    <mergeCell ref="Z30:AA30"/>
    <mergeCell ref="H31:J31"/>
    <mergeCell ref="K31:L31"/>
    <mergeCell ref="M31:N31"/>
    <mergeCell ref="Z31:AA31"/>
    <mergeCell ref="H32:J32"/>
    <mergeCell ref="K32:L32"/>
    <mergeCell ref="M32:N32"/>
    <mergeCell ref="Z32:AA32"/>
    <mergeCell ref="H33:J33"/>
    <mergeCell ref="K33:L33"/>
    <mergeCell ref="M33:N33"/>
    <mergeCell ref="Z33:AA33"/>
    <mergeCell ref="H34:J34"/>
    <mergeCell ref="K34:L34"/>
    <mergeCell ref="M34:N34"/>
    <mergeCell ref="Z34:AA34"/>
    <mergeCell ref="H35:J35"/>
    <mergeCell ref="K35:L35"/>
    <mergeCell ref="M35:N35"/>
    <mergeCell ref="Z35:AA35"/>
    <mergeCell ref="H36:J36"/>
    <mergeCell ref="K36:L36"/>
    <mergeCell ref="M36:N36"/>
    <mergeCell ref="Z36:AA36"/>
    <mergeCell ref="H37:J37"/>
    <mergeCell ref="K37:L37"/>
    <mergeCell ref="M37:N37"/>
    <mergeCell ref="Z37:AA37"/>
    <mergeCell ref="H38:J38"/>
    <mergeCell ref="K38:L38"/>
    <mergeCell ref="M38:N38"/>
    <mergeCell ref="Z38:AA38"/>
    <mergeCell ref="H39:J39"/>
    <mergeCell ref="K39:L39"/>
    <mergeCell ref="M39:N39"/>
    <mergeCell ref="Z39:AA39"/>
    <mergeCell ref="H40:J40"/>
    <mergeCell ref="K40:L40"/>
    <mergeCell ref="M40:N40"/>
    <mergeCell ref="Z40:AA40"/>
    <mergeCell ref="D41:G41"/>
    <mergeCell ref="H41:J41"/>
    <mergeCell ref="K41:L41"/>
    <mergeCell ref="M41:N41"/>
    <mergeCell ref="Z41:AA41"/>
  </mergeCells>
  <conditionalFormatting sqref="S26:U4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49"/>
  <sheetViews>
    <sheetView zoomScale="75" zoomScaleNormal="75" zoomScaleSheetLayoutView="70" workbookViewId="0" topLeftCell="AW19">
      <selection activeCell="S9" sqref="S9"/>
    </sheetView>
  </sheetViews>
  <sheetFormatPr defaultColWidth="9.140625" defaultRowHeight="12.75"/>
  <cols>
    <col min="1" max="1" width="12.140625" style="68" customWidth="1"/>
    <col min="2" max="2" width="7.57421875" style="68" customWidth="1"/>
    <col min="3" max="3" width="10.140625" style="68" customWidth="1"/>
    <col min="4" max="5" width="10.421875" style="68" customWidth="1"/>
    <col min="6" max="6" width="7.7109375" style="68" customWidth="1"/>
    <col min="7" max="7" width="14.57421875" style="68" customWidth="1"/>
    <col min="8" max="9" width="13.00390625" style="68" customWidth="1"/>
    <col min="10" max="10" width="22.140625" style="68" customWidth="1"/>
    <col min="11" max="12" width="8.28125" style="68" customWidth="1"/>
    <col min="13" max="13" width="11.28125" style="68" customWidth="1"/>
    <col min="14" max="14" width="12.57421875" style="69" customWidth="1"/>
    <col min="15" max="15" width="25.28125" style="69" customWidth="1"/>
    <col min="16" max="16" width="16.57421875" style="69" customWidth="1"/>
    <col min="17" max="17" width="15.28125" style="69" customWidth="1"/>
    <col min="18" max="18" width="14.8515625" style="69" customWidth="1"/>
    <col min="19" max="19" width="18.140625" style="69" customWidth="1"/>
    <col min="20" max="20" width="27.140625" style="69" customWidth="1"/>
    <col min="21" max="21" width="21.7109375" style="68" customWidth="1"/>
    <col min="22" max="22" width="20.7109375" style="68" customWidth="1"/>
    <col min="23" max="23" width="19.7109375" style="68" customWidth="1"/>
    <col min="24" max="24" width="21.140625" style="68" customWidth="1"/>
    <col min="25" max="25" width="19.8515625" style="68" customWidth="1"/>
    <col min="26" max="26" width="10.421875" style="68" customWidth="1"/>
    <col min="27" max="28" width="21.57421875" style="68" customWidth="1"/>
    <col min="29" max="29" width="21.140625" style="68" customWidth="1"/>
    <col min="30" max="31" width="1.421875" style="68" customWidth="1"/>
    <col min="32" max="32" width="12.28125" style="68" customWidth="1"/>
    <col min="33" max="33" width="7.7109375" style="68" customWidth="1"/>
    <col min="34" max="34" width="12.421875" style="68" customWidth="1"/>
    <col min="35" max="35" width="12.140625" style="68" customWidth="1"/>
    <col min="36" max="36" width="9.28125" style="68" customWidth="1"/>
    <col min="37" max="37" width="15.28125" style="68" customWidth="1"/>
    <col min="38" max="38" width="12.7109375" style="68" customWidth="1"/>
    <col min="39" max="39" width="11.00390625" style="68" customWidth="1"/>
    <col min="40" max="40" width="12.140625" style="68" customWidth="1"/>
    <col min="41" max="46" width="8.8515625" style="68" customWidth="1"/>
    <col min="47" max="47" width="8.8515625" style="70" customWidth="1"/>
    <col min="48" max="50" width="8.8515625" style="68" customWidth="1"/>
    <col min="51" max="51" width="13.8515625" style="68" customWidth="1"/>
    <col min="52" max="57" width="8.8515625" style="68" customWidth="1"/>
    <col min="58" max="58" width="12.00390625" style="68" customWidth="1"/>
    <col min="59" max="59" width="9.00390625" style="68" customWidth="1"/>
    <col min="60" max="61" width="8.8515625" style="68" customWidth="1"/>
    <col min="62" max="63" width="11.8515625" style="68" customWidth="1"/>
    <col min="64" max="64" width="8.8515625" style="68" customWidth="1"/>
    <col min="65" max="65" width="15.140625" style="68" customWidth="1"/>
    <col min="66" max="16384" width="8.8515625" style="68" customWidth="1"/>
  </cols>
  <sheetData>
    <row r="1" spans="32:42" ht="12.75"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</row>
    <row r="2" spans="4:42" ht="36" customHeight="1"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 t="s">
        <v>33</v>
      </c>
      <c r="P2" s="74"/>
      <c r="Q2" s="73"/>
      <c r="R2" s="73"/>
      <c r="S2" s="73" t="s">
        <v>141</v>
      </c>
      <c r="T2" s="73" t="s">
        <v>35</v>
      </c>
      <c r="U2" s="73" t="s">
        <v>142</v>
      </c>
      <c r="V2" s="73" t="s">
        <v>37</v>
      </c>
      <c r="W2" s="73"/>
      <c r="X2" s="73"/>
      <c r="Y2" s="73"/>
      <c r="Z2" s="73"/>
      <c r="AA2" s="73"/>
      <c r="AB2" s="73"/>
      <c r="AC2" s="75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4:42" ht="25.5" customHeight="1">
      <c r="D3" s="76" t="s">
        <v>38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 t="s">
        <v>39</v>
      </c>
      <c r="V3" s="76"/>
      <c r="W3" s="76"/>
      <c r="X3" s="76"/>
      <c r="Y3" s="76"/>
      <c r="Z3" s="76"/>
      <c r="AA3" s="76"/>
      <c r="AB3" s="76"/>
      <c r="AC3" s="76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47" s="88" customFormat="1" ht="75" customHeight="1">
      <c r="A4" s="77" t="s">
        <v>40</v>
      </c>
      <c r="B4" s="77" t="s">
        <v>41</v>
      </c>
      <c r="C4" s="78" t="s">
        <v>42</v>
      </c>
      <c r="D4" s="79" t="s">
        <v>43</v>
      </c>
      <c r="E4" s="80" t="s">
        <v>44</v>
      </c>
      <c r="F4" s="80" t="s">
        <v>45</v>
      </c>
      <c r="G4" s="80" t="s">
        <v>46</v>
      </c>
      <c r="H4" s="80" t="s">
        <v>47</v>
      </c>
      <c r="I4" s="80" t="s">
        <v>48</v>
      </c>
      <c r="J4" s="80" t="s">
        <v>49</v>
      </c>
      <c r="K4" s="80" t="s">
        <v>50</v>
      </c>
      <c r="L4" s="80" t="s">
        <v>51</v>
      </c>
      <c r="M4" s="81" t="s">
        <v>52</v>
      </c>
      <c r="N4" s="82" t="s">
        <v>53</v>
      </c>
      <c r="O4" s="82" t="s">
        <v>54</v>
      </c>
      <c r="P4" s="82" t="s">
        <v>55</v>
      </c>
      <c r="Q4" s="82" t="s">
        <v>56</v>
      </c>
      <c r="R4" s="82" t="s">
        <v>57</v>
      </c>
      <c r="S4" s="82" t="s">
        <v>58</v>
      </c>
      <c r="T4" s="83" t="s">
        <v>59</v>
      </c>
      <c r="U4" s="82" t="s">
        <v>60</v>
      </c>
      <c r="V4" s="82" t="s">
        <v>134</v>
      </c>
      <c r="W4" s="298" t="s">
        <v>135</v>
      </c>
      <c r="X4" s="82" t="s">
        <v>63</v>
      </c>
      <c r="Y4" s="82" t="s">
        <v>28</v>
      </c>
      <c r="Z4" s="82" t="s">
        <v>64</v>
      </c>
      <c r="AA4" s="82" t="s">
        <v>65</v>
      </c>
      <c r="AB4" s="84" t="s">
        <v>66</v>
      </c>
      <c r="AC4" s="85" t="s">
        <v>67</v>
      </c>
      <c r="AD4" s="86"/>
      <c r="AE4" s="86"/>
      <c r="AF4" s="86"/>
      <c r="AG4" s="86"/>
      <c r="AH4" s="86"/>
      <c r="AI4" s="86"/>
      <c r="AJ4" s="86"/>
      <c r="AK4" s="87"/>
      <c r="AL4" s="86"/>
      <c r="AM4" s="86"/>
      <c r="AN4" s="86"/>
      <c r="AO4" s="86"/>
      <c r="AP4" s="86"/>
      <c r="AU4" s="89"/>
    </row>
    <row r="5" spans="1:42" ht="24" customHeight="1">
      <c r="A5" s="90">
        <f>COUNTIF(N5:N19,"E")</f>
        <v>1</v>
      </c>
      <c r="B5" s="90">
        <v>1</v>
      </c>
      <c r="C5" s="91" t="s">
        <v>68</v>
      </c>
      <c r="D5" s="92">
        <v>40</v>
      </c>
      <c r="E5" s="93"/>
      <c r="F5" s="94">
        <v>1</v>
      </c>
      <c r="G5" s="95"/>
      <c r="H5" s="96" t="s">
        <v>70</v>
      </c>
      <c r="I5" s="97" t="s">
        <v>71</v>
      </c>
      <c r="J5" s="98"/>
      <c r="K5" s="99">
        <v>3.6</v>
      </c>
      <c r="L5" s="99">
        <v>8.5</v>
      </c>
      <c r="M5" s="99">
        <v>1</v>
      </c>
      <c r="N5" s="100" t="s">
        <v>72</v>
      </c>
      <c r="O5" s="101"/>
      <c r="P5" s="102">
        <v>60</v>
      </c>
      <c r="Q5" s="103">
        <f>IF(P5&gt;0,(P5*K5),"")</f>
        <v>216</v>
      </c>
      <c r="R5" s="103">
        <f>IF(N5&lt;&gt;"",Q5*DATI!$E$13-S5,"0,00")</f>
        <v>183.6</v>
      </c>
      <c r="S5" s="102">
        <v>0</v>
      </c>
      <c r="T5" s="104">
        <f>IF(OR(R5&gt;0,S5&gt;0),(R5+S5*0.6),"")</f>
        <v>183.6</v>
      </c>
      <c r="U5" s="105" t="str">
        <f>IF($A$5&gt;0," ",IF(AND(N5="A",F5&gt;0),(9687.52)*F5,IF(AND($A$5=0,C5="S",N5="A",F5=1),9687.52," ")))</f>
        <v> </v>
      </c>
      <c r="V5" s="106">
        <f>IF(AND(N5="A",F5&gt;=0,C5="s",$A$5&gt;0),9687.52*F5+114.01*Q5," ")</f>
        <v>34313.68</v>
      </c>
      <c r="W5" s="107" t="str">
        <f>IF(AND(OR(N5="B",N5="C"),$A$5=0,$C$5="N"),116.25*Q5+'DATI (2)'!$E$4*Q5,IF(AND(OR(N5="B",N5="C"),$A$5=0,$C$5="S"),114.01*Q5+'DATI (2)'!$E$4*Q5," "))</f>
        <v> </v>
      </c>
      <c r="X5" s="106" t="str">
        <f>IF(AND(OR(N5="B",N5="C"),C5="s",$A$5&gt;0),114.01*1.3*Q5+1.3*'DATI (2)'!$E$4*Q5," ")</f>
        <v> </v>
      </c>
      <c r="Y5" s="106" t="str">
        <f>IF(N5="E",IF(M5=1,'DATI (2)'!$E$7*T5,IF(M5=2,'DATI (2)'!$E$8*T5,IF(M5=3,'DATI (2)'!$E$9*T5)))*B5," ")</f>
        <v> </v>
      </c>
      <c r="Z5" s="108"/>
      <c r="AA5" s="109">
        <f>IF(Z5="X",'DATI (2)'!$E$5*P5*L5,"")</f>
      </c>
      <c r="AB5" s="110">
        <f>IF(G5="X",-SUM(U5:Y5)*'DATI (2)'!$E$15,"")</f>
      </c>
      <c r="AC5" s="111">
        <f>SUM(U5:AB5)</f>
        <v>34313.68</v>
      </c>
      <c r="AD5" s="71"/>
      <c r="AE5" s="71"/>
      <c r="AF5" s="71"/>
      <c r="AG5" s="71"/>
      <c r="AH5" s="71"/>
      <c r="AI5" s="71"/>
      <c r="AJ5" s="71"/>
      <c r="AK5" s="112"/>
      <c r="AL5" s="71"/>
      <c r="AM5" s="71"/>
      <c r="AN5" s="71"/>
      <c r="AO5" s="71"/>
      <c r="AP5" s="71"/>
    </row>
    <row r="6" spans="1:42" ht="19.5" customHeight="1">
      <c r="A6" s="113"/>
      <c r="B6" s="90">
        <v>1</v>
      </c>
      <c r="C6" s="91" t="s">
        <v>68</v>
      </c>
      <c r="D6" s="114">
        <v>66</v>
      </c>
      <c r="E6" s="115"/>
      <c r="F6" s="116">
        <v>1</v>
      </c>
      <c r="G6" s="117"/>
      <c r="H6" s="118" t="s">
        <v>70</v>
      </c>
      <c r="I6" s="119" t="s">
        <v>71</v>
      </c>
      <c r="J6" s="120"/>
      <c r="K6" s="121">
        <v>2.6</v>
      </c>
      <c r="L6" s="121">
        <v>7</v>
      </c>
      <c r="M6" s="121">
        <v>1</v>
      </c>
      <c r="N6" s="122" t="s">
        <v>72</v>
      </c>
      <c r="O6" s="123"/>
      <c r="P6" s="124">
        <v>55</v>
      </c>
      <c r="Q6" s="125">
        <f>IF(P6&gt;0,(P6*K6),"")</f>
        <v>143</v>
      </c>
      <c r="R6" s="125">
        <f>IF(N6&lt;&gt;"",Q6*DATI!$E$13-S6,"0,00")</f>
        <v>121.55</v>
      </c>
      <c r="S6" s="124">
        <v>0</v>
      </c>
      <c r="T6" s="126">
        <f>IF(OR(R6&gt;0,S6&gt;0),(R6+S6*0.6),"")</f>
        <v>121.55</v>
      </c>
      <c r="U6" s="127" t="str">
        <f>IF($A$5&gt;0," ",IF(AND(N6="A",F6&gt;0),(9687.52)*F6,IF(AND($A$5=0,C6="S",N6="A",F6=1),9687.52," ")))</f>
        <v> </v>
      </c>
      <c r="V6" s="128">
        <f>IF(AND(N6="A",F6&gt;=0,C6="s",$A$5&gt;0),9687.52*F6+114.01*Q6," ")</f>
        <v>25990.95</v>
      </c>
      <c r="W6" s="129" t="str">
        <f>IF(AND(OR(N6="B",N6="C"),$A$5=0,$C$5="N"),116.25*Q6+'DATI (2)'!$E$4*Q6,IF(AND(OR(N6="B",N6="C"),$A$5=0,$C$5="S"),114.01*Q6+'DATI (2)'!$E$4*Q6," "))</f>
        <v> </v>
      </c>
      <c r="X6" s="128" t="str">
        <f>IF(AND(OR(N6="B",N6="C"),C6="s",$A$5&gt;0),114.01*1.3*Q6+1.3*'DATI (2)'!$E$4*Q6," ")</f>
        <v> </v>
      </c>
      <c r="Y6" s="128" t="str">
        <f>IF(N6="E",IF(M6=1,'DATI (2)'!$E$7*T6,IF(M6=2,'DATI (2)'!$E$8*T6,IF(M6=3,'DATI (2)'!$E$9*T6)))*B6," ")</f>
        <v> </v>
      </c>
      <c r="Z6" s="130"/>
      <c r="AA6" s="131">
        <f>IF(Z6="X",'DATI (2)'!$E$5*P6*L6,"")</f>
      </c>
      <c r="AB6" s="132">
        <f>IF(G6="X",-SUM(U6:Y6)*'DATI (2)'!$E$15,"")</f>
      </c>
      <c r="AC6" s="133">
        <f>SUM(U6:AB6)</f>
        <v>25990.95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42" ht="19.5" customHeight="1">
      <c r="A7" s="113"/>
      <c r="B7" s="90">
        <v>1</v>
      </c>
      <c r="C7" s="91" t="s">
        <v>68</v>
      </c>
      <c r="D7" s="134">
        <v>82</v>
      </c>
      <c r="E7" s="135"/>
      <c r="F7" s="136">
        <v>0</v>
      </c>
      <c r="G7" s="137"/>
      <c r="H7" s="138" t="s">
        <v>74</v>
      </c>
      <c r="I7" s="138" t="s">
        <v>75</v>
      </c>
      <c r="J7" s="139"/>
      <c r="K7" s="140">
        <v>2</v>
      </c>
      <c r="L7" s="140">
        <v>6.5</v>
      </c>
      <c r="M7" s="140">
        <v>1</v>
      </c>
      <c r="N7" s="141" t="s">
        <v>77</v>
      </c>
      <c r="O7" s="142"/>
      <c r="P7" s="143">
        <v>70</v>
      </c>
      <c r="Q7" s="125">
        <f>IF(P7&gt;0,(P7*K7),"")</f>
        <v>140</v>
      </c>
      <c r="R7" s="125">
        <f>IF(N7&lt;&gt;"",Q7*DATI!$E$13-S7,"0,00")</f>
        <v>0</v>
      </c>
      <c r="S7" s="143">
        <v>119</v>
      </c>
      <c r="T7" s="126">
        <f>IF(OR(R7&gt;0,S7&gt;0),(R7+S7*0.6),"")</f>
        <v>71.39999999999999</v>
      </c>
      <c r="U7" s="144" t="str">
        <f>IF($A$5&gt;0," ",IF(AND(N7="A",F7&gt;0),(9687.52)*F7,IF(AND($A$5=0,C7="S",N7="A",F7=1),9687.52," ")))</f>
        <v> </v>
      </c>
      <c r="V7" s="128" t="str">
        <f>IF(AND(N7="A",F7&gt;=0,C7="s",$A$5&gt;0),9687.52*F7+114.01*Q7," ")</f>
        <v> </v>
      </c>
      <c r="W7" s="145" t="str">
        <f>IF(AND(OR(N7="B",N7="C"),$A$5=0,$C$5="N"),116.25*Q7+'DATI (2)'!$E$4*Q7,IF(AND(OR(N7="B",N7="C"),$A$5=0,$C$5="S"),114.01*Q7+'DATI (2)'!$E$4*Q7," "))</f>
        <v> </v>
      </c>
      <c r="X7" s="128" t="str">
        <f>IF(AND(OR(N7="B",N7="C"),C7="s",$A$5&gt;0),114.01*1.3*Q7+1.3*'DATI (2)'!$E$4*Q7," ")</f>
        <v> </v>
      </c>
      <c r="Y7" s="128">
        <f>IF(N7="E",IF(M7=1,'DATI (2)'!$E$7*T7,IF(M7=2,'DATI (2)'!$E$8*T7,IF(M7=3,'DATI (2)'!$E$9*T7)))*B7," ")</f>
        <v>91152.09599999999</v>
      </c>
      <c r="Z7" s="130"/>
      <c r="AA7" s="131">
        <f>IF(Z7="X",'DATI (2)'!$E$5*P7*L7,"")</f>
      </c>
      <c r="AB7" s="132">
        <f>IF(G7="X",-SUM(U7:Y7)*'DATI (2)'!$E$15,"")</f>
      </c>
      <c r="AC7" s="133">
        <f>SUM(U7:AB7)</f>
        <v>91152.09599999999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spans="1:42" ht="27" customHeight="1">
      <c r="A8" s="113"/>
      <c r="B8" s="90">
        <v>1</v>
      </c>
      <c r="C8" s="91" t="s">
        <v>68</v>
      </c>
      <c r="D8" s="134">
        <v>38</v>
      </c>
      <c r="E8" s="135" t="s">
        <v>69</v>
      </c>
      <c r="F8" s="136">
        <v>0</v>
      </c>
      <c r="G8" s="137"/>
      <c r="H8" s="118" t="s">
        <v>74</v>
      </c>
      <c r="I8" s="138" t="s">
        <v>75</v>
      </c>
      <c r="J8" s="139"/>
      <c r="K8" s="140">
        <v>1</v>
      </c>
      <c r="L8" s="140">
        <v>3</v>
      </c>
      <c r="M8" s="140">
        <v>1</v>
      </c>
      <c r="N8" s="141" t="s">
        <v>72</v>
      </c>
      <c r="O8" s="142"/>
      <c r="P8" s="143">
        <v>70</v>
      </c>
      <c r="Q8" s="125">
        <f>IF(P8&gt;0,(P8*K8),"")</f>
        <v>70</v>
      </c>
      <c r="R8" s="125">
        <f>IF(N8&lt;&gt;"",Q8*DATI!$E$13-S8,"0,00")</f>
        <v>0</v>
      </c>
      <c r="S8" s="143">
        <v>59.5</v>
      </c>
      <c r="T8" s="126">
        <f>IF(OR(R8&gt;0,S8&gt;0),(R8+S8*0.6),"")</f>
        <v>35.699999999999996</v>
      </c>
      <c r="U8" s="144" t="str">
        <f>IF($A$5&gt;0," ",IF(AND(N8="A",F8&gt;0),(9687.52)*F8,IF(AND($A$5=0,C8="S",N8="A",F8=1),9687.52," ")))</f>
        <v> </v>
      </c>
      <c r="V8" s="128">
        <f>IF(AND(N8="A",F8&gt;=0,C8="s",$A$5&gt;0),9687.52*F8+114.01*Q8," ")</f>
        <v>7980.700000000001</v>
      </c>
      <c r="W8" s="145" t="str">
        <f>IF(AND(OR(N8="B",N8="C"),$A$5=0,$C$5="N"),116.25*Q8+'DATI (2)'!$E$4*Q8,IF(AND(OR(N8="B",N8="C"),$A$5=0,$C$5="S"),114.01*Q8+'DATI (2)'!$E$4*Q8," "))</f>
        <v> </v>
      </c>
      <c r="X8" s="128" t="str">
        <f>IF(AND(OR(N8="B",N8="C"),C8="s",$A$5&gt;0),114.01*1.3*Q8+1.3*'DATI (2)'!$E$4*Q8," ")</f>
        <v> </v>
      </c>
      <c r="Y8" s="128" t="str">
        <f>IF(N8="E",IF(M8=1,'DATI (2)'!$E$7*T8,IF(M8=2,'DATI (2)'!$E$8*T8,IF(M8=3,'DATI (2)'!$E$9*T8)))*B8," ")</f>
        <v> </v>
      </c>
      <c r="Z8" s="130"/>
      <c r="AA8" s="131">
        <f>IF(Z8="X",'DATI (2)'!$E$5*P8*L8,"")</f>
      </c>
      <c r="AB8" s="132">
        <f>IF(G8="X",-SUM(U8:Y8)*'DATI (2)'!$E$15,"")</f>
      </c>
      <c r="AC8" s="133">
        <f>SUM(U8:AB8)</f>
        <v>7980.700000000001</v>
      </c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1:42" ht="21" customHeight="1">
      <c r="A9" s="113"/>
      <c r="B9" s="90">
        <v>1</v>
      </c>
      <c r="C9" s="91" t="s">
        <v>68</v>
      </c>
      <c r="D9" s="134">
        <v>38</v>
      </c>
      <c r="E9" s="135" t="s">
        <v>73</v>
      </c>
      <c r="F9" s="136">
        <v>0</v>
      </c>
      <c r="G9" s="137"/>
      <c r="H9" s="118" t="s">
        <v>70</v>
      </c>
      <c r="I9" s="138" t="s">
        <v>71</v>
      </c>
      <c r="J9" s="139"/>
      <c r="K9" s="140">
        <v>2.6</v>
      </c>
      <c r="L9" s="140">
        <v>7</v>
      </c>
      <c r="M9" s="140">
        <v>1</v>
      </c>
      <c r="N9" s="141" t="s">
        <v>72</v>
      </c>
      <c r="O9" s="142"/>
      <c r="P9" s="143">
        <v>71</v>
      </c>
      <c r="Q9" s="125">
        <f>IF(P9&gt;0,(P9*K9),"")</f>
        <v>184.6</v>
      </c>
      <c r="R9" s="125">
        <f>IF(N9&lt;&gt;"",Q9*DATI!$E$13-S9,"0,00")</f>
        <v>156.91</v>
      </c>
      <c r="S9" s="143"/>
      <c r="T9" s="126">
        <f>IF(OR(R9&gt;0,S9&gt;0),(R9+S9*0.6),"")</f>
        <v>156.91</v>
      </c>
      <c r="U9" s="144" t="str">
        <f>IF($A$5&gt;0," ",IF(AND(N9="A",F9&gt;0),(9687.52)*F9,IF(AND($A$5=0,C9="S",N9="A",F9=1),9687.52," ")))</f>
        <v> </v>
      </c>
      <c r="V9" s="128">
        <f>IF(AND(N9="A",F9&gt;=0,C9="s",$A$5&gt;0),9687.52*F9+114.01*Q9," ")</f>
        <v>21046.246</v>
      </c>
      <c r="W9" s="145" t="str">
        <f>IF(AND(OR(N9="B",N9="C"),$A$5=0,$C$5="N"),116.25*Q9+'DATI (2)'!$E$4*Q9,IF(AND(OR(N9="B",N9="C"),$A$5=0,$C$5="S"),114.01*Q9+'DATI (2)'!$E$4*Q9," "))</f>
        <v> </v>
      </c>
      <c r="X9" s="128" t="str">
        <f>IF(AND(OR(N9="B",N9="C"),C9="s",$A$5&gt;0),114.01*1.3*Q9+1.3*'DATI (2)'!$E$4*Q9," ")</f>
        <v> </v>
      </c>
      <c r="Y9" s="128" t="str">
        <f>IF(N9="E",IF(M9=1,'DATI (2)'!$E$7*T9,IF(M9=2,'DATI (2)'!$E$8*T9,IF(M9=3,'DATI (2)'!$E$9*T9)))*B9," ")</f>
        <v> </v>
      </c>
      <c r="Z9" s="130"/>
      <c r="AA9" s="131">
        <f>IF(Z9="X",'DATI (2)'!$E$5*P9*L9,"")</f>
      </c>
      <c r="AB9" s="132">
        <f>IF(G9="X",-SUM(U9:Y9)*'DATI (2)'!$E$15,"")</f>
      </c>
      <c r="AC9" s="133">
        <f>SUM(U9:AB9)</f>
        <v>21046.246</v>
      </c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ht="19.5" customHeight="1">
      <c r="A10" s="113"/>
      <c r="B10" s="90">
        <v>1</v>
      </c>
      <c r="C10" s="91" t="s">
        <v>68</v>
      </c>
      <c r="D10" s="134"/>
      <c r="E10" s="135"/>
      <c r="F10" s="136"/>
      <c r="G10" s="137"/>
      <c r="H10" s="118"/>
      <c r="I10" s="138"/>
      <c r="J10" s="139"/>
      <c r="K10" s="140"/>
      <c r="L10" s="140"/>
      <c r="M10" s="140"/>
      <c r="N10" s="141"/>
      <c r="O10" s="142"/>
      <c r="P10" s="146"/>
      <c r="Q10" s="149"/>
      <c r="R10" s="149"/>
      <c r="S10" s="143"/>
      <c r="T10" s="150"/>
      <c r="U10" s="144" t="str">
        <f>IF($A$5&gt;0," ",IF(AND(N10="A",F10&gt;0),(9687.52)*F10,IF(AND($A$5=0,C10="S",N10="A",F10=1),9687.52," ")))</f>
        <v> </v>
      </c>
      <c r="V10" s="128" t="str">
        <f>IF(AND(N10="A",F10&gt;=0,C10="s",$A$5&gt;0),9687.52*F10+114.01*Q10," ")</f>
        <v> </v>
      </c>
      <c r="W10" s="145" t="str">
        <f>IF(AND(OR(N10="B",N10="C"),$A$5=0,$C$5="N"),116.25*Q10+'DATI (2)'!$E$4*Q10,IF(AND(OR(N10="B",N10="C"),$A$5=0,$C$5="S"),114.01*Q10+'DATI (2)'!$E$4*Q10," "))</f>
        <v> </v>
      </c>
      <c r="X10" s="128" t="str">
        <f>IF(AND(OR(N10="B",N10="C"),C10="s",$A$5&gt;0),114.01*1.3*Q10+1.3*'DATI (2)'!$E$4*Q10," ")</f>
        <v> </v>
      </c>
      <c r="Y10" s="128" t="str">
        <f>IF(N10="E",IF(M10=1,'DATI (2)'!$E$7*T10,IF(M10=2,'DATI (2)'!$E$8*T10,IF(M10=3,'DATI (2)'!$E$9*T10)))*B10," ")</f>
        <v> </v>
      </c>
      <c r="Z10" s="130"/>
      <c r="AA10" s="131">
        <f>IF(Z10="X",'DATI (2)'!$E$5*P10*L10,"")</f>
      </c>
      <c r="AB10" s="132">
        <f>IF(G10="X",-SUM(U10:Y10)*'DATI (2)'!$E$15,"")</f>
      </c>
      <c r="AC10" s="133">
        <f>SUM(U10:AB10)</f>
        <v>0</v>
      </c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ht="18" customHeight="1">
      <c r="A11" s="113"/>
      <c r="B11" s="90">
        <v>1</v>
      </c>
      <c r="C11" s="91" t="s">
        <v>68</v>
      </c>
      <c r="D11" s="134"/>
      <c r="E11" s="135"/>
      <c r="F11" s="136"/>
      <c r="G11" s="137"/>
      <c r="H11" s="147"/>
      <c r="I11" s="119"/>
      <c r="J11" s="148"/>
      <c r="K11" s="140"/>
      <c r="L11" s="140"/>
      <c r="M11" s="140"/>
      <c r="N11" s="141"/>
      <c r="O11" s="142"/>
      <c r="P11" s="146"/>
      <c r="Q11" s="149"/>
      <c r="R11" s="149"/>
      <c r="S11" s="143"/>
      <c r="T11" s="150"/>
      <c r="U11" s="144" t="str">
        <f>IF($A$5&gt;0," ",IF(AND(N11="A",F11&gt;0),(9687.52)*F11,IF(AND($A$5=0,C11="S",N11="A",F11=1),9687.52," ")))</f>
        <v> </v>
      </c>
      <c r="V11" s="128" t="str">
        <f>IF(AND(N11="A",F11&gt;=0,C11="s",$A$5&gt;0),9687.52*F11+114.01*Q11," ")</f>
        <v> </v>
      </c>
      <c r="W11" s="145" t="str">
        <f>IF(AND(OR(N11="B",N11="C"),$A$5=0,$C$5="N"),116.25*Q11+'DATI (2)'!$E$4*Q11,IF(AND(OR(N11="B",N11="C"),$A$5=0,$C$5="S"),114.01*Q11+'DATI (2)'!$E$4*Q11," "))</f>
        <v> </v>
      </c>
      <c r="X11" s="128" t="str">
        <f>IF(AND(OR(N11="B",N11="C"),C11="s",$A$5&gt;0),114.01*1.3*Q11+1.3*'DATI (2)'!$E$4*Q11," ")</f>
        <v> </v>
      </c>
      <c r="Y11" s="128" t="str">
        <f>IF(N11="E",IF(M11=1,'DATI (2)'!$E$7*T11,IF(M11=2,'DATI (2)'!$E$8*T11,IF(M11=3,'DATI (2)'!$E$9*T11)))*B11," ")</f>
        <v> </v>
      </c>
      <c r="Z11" s="130"/>
      <c r="AA11" s="131">
        <f>IF(Z11="X",'DATI (2)'!$E$5*P11*L11,"")</f>
      </c>
      <c r="AB11" s="132">
        <f>IF(G11="X",-SUM(U11:Y11)*'DATI (2)'!$E$15,"")</f>
      </c>
      <c r="AC11" s="133">
        <f>SUM(U11:AB11)</f>
        <v>0</v>
      </c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ht="19.5" customHeight="1">
      <c r="A12" s="113"/>
      <c r="B12" s="90">
        <v>1</v>
      </c>
      <c r="C12" s="91" t="s">
        <v>68</v>
      </c>
      <c r="D12" s="134"/>
      <c r="E12" s="135"/>
      <c r="F12" s="136"/>
      <c r="G12" s="137"/>
      <c r="H12" s="118"/>
      <c r="I12" s="138"/>
      <c r="J12" s="148"/>
      <c r="K12" s="140"/>
      <c r="L12" s="140"/>
      <c r="M12" s="140"/>
      <c r="N12" s="141"/>
      <c r="O12" s="142"/>
      <c r="P12" s="143"/>
      <c r="Q12" s="149"/>
      <c r="R12" s="149"/>
      <c r="S12" s="143"/>
      <c r="T12" s="150"/>
      <c r="U12" s="144" t="str">
        <f>IF($A$5&gt;0," ",IF(AND(N12="A",F12&gt;0),(9687.52)*F12,IF(AND($A$5=0,C12="S",N12="A",F12=1),9687.52," ")))</f>
        <v> </v>
      </c>
      <c r="V12" s="128" t="str">
        <f>IF(AND(N12="A",F12&gt;=0,C12="s",$A$5&gt;0),9687.52*F12+114.01*Q12," ")</f>
        <v> </v>
      </c>
      <c r="W12" s="145" t="str">
        <f>IF(AND(OR(N12="B",N12="C"),$A$5=0,$C$5="N"),116.25*Q12+'DATI (2)'!$E$4*Q12,IF(AND(OR(N12="B",N12="C"),$A$5=0,$C$5="S"),114.01*Q12+'DATI (2)'!$E$4*Q12," "))</f>
        <v> </v>
      </c>
      <c r="X12" s="128" t="str">
        <f>IF(AND(OR(N12="B",N12="C"),C12="s",$A$5&gt;0),114.01*1.3*Q12+1.3*'DATI (2)'!$E$4*Q12," ")</f>
        <v> </v>
      </c>
      <c r="Y12" s="128" t="str">
        <f>IF(N12="E",IF(M12=1,'DATI (2)'!$E$7*T12,IF(M12=2,'DATI (2)'!$E$8*T12,IF(M12=3,'DATI (2)'!$E$9*T12)))*B12," ")</f>
        <v> </v>
      </c>
      <c r="Z12" s="130"/>
      <c r="AA12" s="131">
        <f>IF(Z12="X",'DATI (2)'!$E$5*P12*L12,"")</f>
      </c>
      <c r="AB12" s="132">
        <f>IF(G12="X",-SUM(U12:Y12)*'DATI (2)'!$E$15,"")</f>
      </c>
      <c r="AC12" s="133">
        <f>SUM(U12:AB12)</f>
        <v>0</v>
      </c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ht="19.5" customHeight="1">
      <c r="A13" s="113"/>
      <c r="B13" s="90">
        <v>1</v>
      </c>
      <c r="C13" s="91" t="s">
        <v>68</v>
      </c>
      <c r="D13" s="134"/>
      <c r="E13" s="135"/>
      <c r="F13" s="136"/>
      <c r="G13" s="137"/>
      <c r="H13" s="138"/>
      <c r="I13" s="138"/>
      <c r="J13" s="148"/>
      <c r="K13" s="140"/>
      <c r="L13" s="140"/>
      <c r="M13" s="140"/>
      <c r="N13" s="141"/>
      <c r="O13" s="142"/>
      <c r="P13" s="146"/>
      <c r="Q13" s="149"/>
      <c r="R13" s="149"/>
      <c r="S13" s="143"/>
      <c r="T13" s="150"/>
      <c r="U13" s="144" t="str">
        <f>IF($A$5&gt;0," ",IF(AND(N13="A",F13&gt;0),(9687.52)*F13,IF(AND($A$5=0,C13="S",N13="A",F13=1),9687.52," ")))</f>
        <v> </v>
      </c>
      <c r="V13" s="128" t="str">
        <f>IF(AND(N13="A",F13&gt;=0,C13="s",$A$5&gt;0),9687.52*F13+114.01*Q13," ")</f>
        <v> </v>
      </c>
      <c r="W13" s="145" t="str">
        <f>IF(AND(OR(N13="B",N13="C"),$A$5=0,$C$5="N"),116.25*Q13+'DATI (2)'!$E$4*Q13,IF(AND(OR(N13="B",N13="C"),$A$5=0,$C$5="S"),114.01*Q13+'DATI (2)'!$E$4*Q13," "))</f>
        <v> </v>
      </c>
      <c r="X13" s="128" t="str">
        <f>IF(AND(OR(N13="B",N13="C"),C13="s",$A$5&gt;0),114.01*1.3*Q13+1.3*'DATI (2)'!$E$4*Q13," ")</f>
        <v> </v>
      </c>
      <c r="Y13" s="128" t="str">
        <f>IF(N13="E",IF(M13=1,'DATI (2)'!$E$7*T13,IF(M13=2,'DATI (2)'!$E$8*T13,IF(M13=3,'DATI (2)'!$E$9*T13)))*B13," ")</f>
        <v> </v>
      </c>
      <c r="Z13" s="130"/>
      <c r="AA13" s="131">
        <f>IF(Z13="X",'DATI (2)'!$E$5*P13*L13,"")</f>
      </c>
      <c r="AB13" s="132">
        <f>IF(G13="X",-SUM(U13:Y13)*'DATI (2)'!$E$15,"")</f>
      </c>
      <c r="AC13" s="133">
        <f>SUM(U13:AB13)</f>
        <v>0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ht="12.75">
      <c r="A14" s="113"/>
      <c r="B14" s="90">
        <v>1</v>
      </c>
      <c r="C14" s="91" t="s">
        <v>68</v>
      </c>
      <c r="D14" s="134"/>
      <c r="E14" s="135"/>
      <c r="F14" s="136"/>
      <c r="G14" s="137"/>
      <c r="H14" s="147"/>
      <c r="I14" s="119"/>
      <c r="J14" s="148"/>
      <c r="K14" s="140"/>
      <c r="L14" s="140"/>
      <c r="M14" s="140"/>
      <c r="N14" s="141"/>
      <c r="O14" s="142"/>
      <c r="P14" s="146"/>
      <c r="Q14" s="149"/>
      <c r="R14" s="149"/>
      <c r="S14" s="143"/>
      <c r="T14" s="150"/>
      <c r="U14" s="144" t="str">
        <f>IF($A$5&gt;0," ",IF(AND(N14="A",F14&gt;0),(9687.52)*F14,IF(AND($A$5=0,C14="S",N14="A",F14=1),9687.52," ")))</f>
        <v> </v>
      </c>
      <c r="V14" s="128" t="str">
        <f>IF(AND(N14="A",F14&gt;=0,C14="s",$A$5&gt;0),9687.52*F14+114.01*Q14," ")</f>
        <v> </v>
      </c>
      <c r="W14" s="145" t="str">
        <f>IF(AND(OR(N14="B",N14="C"),$A$5=0,$C$5="N"),116.25*Q14+'DATI (2)'!$E$4*Q14,IF(AND(OR(N14="B",N14="C"),$A$5=0,$C$5="S"),114.01*Q14+'DATI (2)'!$E$4*Q14," "))</f>
        <v> </v>
      </c>
      <c r="X14" s="128" t="str">
        <f>IF(AND(OR(N14="B",N14="C"),C14="s",$A$5&gt;0),114.01*1.3*Q14+1.3*'DATI (2)'!$E$4*Q14," ")</f>
        <v> </v>
      </c>
      <c r="Y14" s="128" t="str">
        <f>IF(N14="E",IF(M14=1,'DATI (2)'!$E$7*T14,IF(M14=2,'DATI (2)'!$E$8*T14,IF(M14=3,'DATI (2)'!$E$9*T14)))*B14," ")</f>
        <v> </v>
      </c>
      <c r="Z14" s="130"/>
      <c r="AA14" s="131">
        <f>IF(Z14="X",'DATI (2)'!$E$5*P14*L14,"")</f>
      </c>
      <c r="AB14" s="132">
        <f>IF(G14="X",-SUM(U14:Y14)*'DATI (2)'!$E$15,"")</f>
      </c>
      <c r="AC14" s="133">
        <f>SUM(U14:AB14)</f>
        <v>0</v>
      </c>
      <c r="AD14" s="71"/>
      <c r="AE14" s="71"/>
      <c r="AF14" s="151"/>
      <c r="AG14" s="151"/>
      <c r="AH14" s="151"/>
      <c r="AI14" s="151"/>
      <c r="AJ14" s="151"/>
      <c r="AK14" s="151"/>
      <c r="AL14" s="151"/>
      <c r="AM14" s="71"/>
      <c r="AN14" s="71"/>
      <c r="AO14" s="71"/>
      <c r="AP14" s="71"/>
    </row>
    <row r="15" spans="1:42" ht="21.75" customHeight="1">
      <c r="A15" s="113"/>
      <c r="B15" s="90">
        <v>1</v>
      </c>
      <c r="C15" s="91" t="s">
        <v>68</v>
      </c>
      <c r="D15" s="134"/>
      <c r="E15" s="135"/>
      <c r="F15" s="136"/>
      <c r="G15" s="137"/>
      <c r="H15" s="138"/>
      <c r="I15" s="138"/>
      <c r="J15" s="139"/>
      <c r="K15" s="140"/>
      <c r="L15" s="140"/>
      <c r="M15" s="140"/>
      <c r="N15" s="141"/>
      <c r="O15" s="142"/>
      <c r="P15" s="146"/>
      <c r="Q15" s="149"/>
      <c r="R15" s="149"/>
      <c r="S15" s="143"/>
      <c r="T15" s="150"/>
      <c r="U15" s="144" t="str">
        <f>IF($A$5&gt;0," ",IF(AND(N15="A",F15&gt;0),(9687.52)*F15,IF(AND($A$5=0,C15="S",N15="A",F15=1),9687.52," ")))</f>
        <v> </v>
      </c>
      <c r="V15" s="128" t="str">
        <f>IF(AND(N15="A",F15&gt;=0,C15="s",$A$5&gt;0),9687.52*F15+114.01*Q15," ")</f>
        <v> </v>
      </c>
      <c r="W15" s="145" t="str">
        <f>IF(AND(OR(N15="B",N15="C"),$A$5=0,$C$5="N"),116.25*Q15+'DATI (2)'!$E$4*Q15,IF(AND(OR(N15="B",N15="C"),$A$5=0,$C$5="S"),114.01*Q15+'DATI (2)'!$E$4*Q15," "))</f>
        <v> </v>
      </c>
      <c r="X15" s="128" t="str">
        <f>IF(AND(OR(N15="B",N15="C"),C15="s",$A$5&gt;0),114.01*1.3*Q15+1.3*'DATI (2)'!$E$4*Q15," ")</f>
        <v> </v>
      </c>
      <c r="Y15" s="128" t="str">
        <f>IF(N15="E",IF(M15=1,'DATI (2)'!$E$7*T15,IF(M15=2,'DATI (2)'!$E$8*T15,IF(M15=3,'DATI (2)'!$E$9*T15)))*B15," ")</f>
        <v> </v>
      </c>
      <c r="Z15" s="130"/>
      <c r="AA15" s="131">
        <f>IF(Z15="X",'DATI (2)'!$E$5*P15*L15,"")</f>
      </c>
      <c r="AB15" s="132">
        <f>IF(G15="X",-SUM(U15:Y15)*'DATI (2)'!$E$15,"")</f>
      </c>
      <c r="AC15" s="133">
        <f>SUM(U15:AB15)</f>
        <v>0</v>
      </c>
      <c r="AD15" s="71"/>
      <c r="AE15" s="71"/>
      <c r="AF15" s="151"/>
      <c r="AG15" s="151"/>
      <c r="AH15" s="151"/>
      <c r="AI15" s="151"/>
      <c r="AJ15" s="151"/>
      <c r="AK15" s="151"/>
      <c r="AL15" s="151"/>
      <c r="AM15" s="71"/>
      <c r="AN15" s="71"/>
      <c r="AO15" s="71"/>
      <c r="AP15" s="71"/>
    </row>
    <row r="16" spans="1:42" ht="19.5" customHeight="1">
      <c r="A16" s="113"/>
      <c r="B16" s="90">
        <v>1</v>
      </c>
      <c r="C16" s="91" t="s">
        <v>68</v>
      </c>
      <c r="D16" s="134"/>
      <c r="E16" s="135"/>
      <c r="F16" s="136"/>
      <c r="G16" s="137"/>
      <c r="H16" s="118"/>
      <c r="I16" s="119"/>
      <c r="J16" s="139"/>
      <c r="K16" s="140"/>
      <c r="L16" s="140"/>
      <c r="M16" s="140"/>
      <c r="N16" s="141"/>
      <c r="O16" s="142"/>
      <c r="P16" s="146"/>
      <c r="Q16" s="149"/>
      <c r="R16" s="149"/>
      <c r="S16" s="124"/>
      <c r="T16" s="150"/>
      <c r="U16" s="144" t="str">
        <f>IF($A$5&gt;0," ",IF(AND(N16="A",F16&gt;0),(9687.52)*F16,IF(AND($A$5=0,C16="S",N16="A",F16=1),9687.52," ")))</f>
        <v> </v>
      </c>
      <c r="V16" s="128" t="str">
        <f>IF(AND(N16="A",F16&gt;=0,C16="s",$A$5&gt;0),9687.52*F16+114.01*Q16," ")</f>
        <v> </v>
      </c>
      <c r="W16" s="145" t="str">
        <f>IF(AND(OR(N16="B",N16="C"),$A$5=0,$C$5="N"),116.25*Q16+'DATI (2)'!$E$4*Q16,IF(AND(OR(N16="B",N16="C"),$A$5=0,$C$5="S"),114.01*Q16+'DATI (2)'!$E$4*Q16," "))</f>
        <v> </v>
      </c>
      <c r="X16" s="128" t="str">
        <f>IF(AND(OR(N16="B",N16="C"),C16="s",$A$5&gt;0),114.01*1.3*Q16+1.3*'DATI (2)'!$E$4*Q16," ")</f>
        <v> </v>
      </c>
      <c r="Y16" s="128" t="str">
        <f>IF(N16="E",IF(M16=1,'DATI (2)'!$E$7*T16,IF(M16=2,'DATI (2)'!$E$8*T16,IF(M16=3,'DATI (2)'!$E$9*T16)))*B16," ")</f>
        <v> </v>
      </c>
      <c r="Z16" s="130"/>
      <c r="AA16" s="131">
        <f>IF(Z16="X",'DATI (2)'!$E$5*P16*L16,"")</f>
      </c>
      <c r="AB16" s="132">
        <f>IF(G16="X",-SUM(U16:Y16)*'DATI (2)'!$E$15,"")</f>
      </c>
      <c r="AC16" s="133">
        <f>SUM(U16:AB16)</f>
        <v>0</v>
      </c>
      <c r="AD16" s="71"/>
      <c r="AE16" s="71"/>
      <c r="AF16" s="151"/>
      <c r="AG16" s="151"/>
      <c r="AH16" s="151"/>
      <c r="AI16" s="151"/>
      <c r="AJ16" s="151"/>
      <c r="AK16" s="151"/>
      <c r="AL16" s="151"/>
      <c r="AM16" s="71"/>
      <c r="AN16" s="71"/>
      <c r="AO16" s="71"/>
      <c r="AP16" s="71"/>
    </row>
    <row r="17" spans="1:42" ht="19.5" customHeight="1">
      <c r="A17" s="113"/>
      <c r="B17" s="113"/>
      <c r="C17" s="91"/>
      <c r="D17" s="152"/>
      <c r="E17" s="153"/>
      <c r="F17" s="136"/>
      <c r="G17" s="154"/>
      <c r="H17" s="155"/>
      <c r="I17" s="156"/>
      <c r="J17" s="140"/>
      <c r="K17" s="140"/>
      <c r="L17" s="140"/>
      <c r="M17" s="140"/>
      <c r="N17" s="141"/>
      <c r="O17" s="157"/>
      <c r="P17" s="146"/>
      <c r="Q17" s="149"/>
      <c r="R17" s="149"/>
      <c r="S17" s="143"/>
      <c r="T17" s="150"/>
      <c r="U17" s="144" t="str">
        <f>IF($A$5&gt;0," ",IF(AND(N17="A",F17&gt;0),(9687.52)*F17,IF(AND($A$5=0,C17="S",N17="A",F17=1),9687.52," ")))</f>
        <v> </v>
      </c>
      <c r="V17" s="128" t="str">
        <f>IF(AND(N17="A",F17&gt;=0,C17="s",$A$5&gt;0),9687.52*F17+114.01*Q17," ")</f>
        <v> </v>
      </c>
      <c r="W17" s="145" t="str">
        <f>IF(AND(OR(N17="B",N17="C"),$A$5=0,$C$5="N"),116.25*Q17+'DATI (2)'!$E$4*Q17,IF(AND(OR(N17="B",N17="C"),$A$5=0,$C$5="S"),114.01*Q17+'DATI (2)'!$E$4*Q17," "))</f>
        <v> </v>
      </c>
      <c r="X17" s="128" t="str">
        <f>IF(AND(OR(N17="B",N17="C"),C17="s",$A$5&gt;0),114.01*1.3*Q17+1.3*'DATI (2)'!$E$4*Q17," ")</f>
        <v> </v>
      </c>
      <c r="Y17" s="128" t="str">
        <f>IF(N17="E",IF(M17=1,'DATI (2)'!$E$7*T17,IF(M17=2,'DATI (2)'!$E$8*T17,IF(M17=3,'DATI (2)'!$E$9*T17)))*B17," ")</f>
        <v> </v>
      </c>
      <c r="Z17" s="130"/>
      <c r="AA17" s="131">
        <f>IF(Z17="X",'DATI (2)'!$E$5*P17*L17,"")</f>
      </c>
      <c r="AB17" s="132">
        <f>IF(G17="X",-SUM(U17:Y17)*'DATI (2)'!$E$15,"")</f>
      </c>
      <c r="AC17" s="133">
        <f>SUM(U17:AB17)</f>
        <v>0</v>
      </c>
      <c r="AD17" s="71"/>
      <c r="AE17" s="71"/>
      <c r="AF17" s="151"/>
      <c r="AG17" s="151"/>
      <c r="AH17" s="151"/>
      <c r="AI17" s="151"/>
      <c r="AJ17" s="151"/>
      <c r="AK17" s="151"/>
      <c r="AL17" s="151"/>
      <c r="AM17" s="71"/>
      <c r="AN17" s="71"/>
      <c r="AO17" s="71"/>
      <c r="AP17" s="71"/>
    </row>
    <row r="18" spans="1:42" ht="19.5" customHeight="1">
      <c r="A18" s="113"/>
      <c r="B18" s="113"/>
      <c r="C18" s="91"/>
      <c r="D18" s="152"/>
      <c r="E18" s="156"/>
      <c r="F18" s="136"/>
      <c r="G18" s="154"/>
      <c r="H18" s="155"/>
      <c r="I18" s="156"/>
      <c r="J18" s="140"/>
      <c r="K18" s="140"/>
      <c r="L18" s="140"/>
      <c r="M18" s="140"/>
      <c r="N18" s="141"/>
      <c r="O18" s="158"/>
      <c r="P18" s="146"/>
      <c r="Q18" s="149"/>
      <c r="R18" s="149"/>
      <c r="S18" s="143"/>
      <c r="T18" s="150"/>
      <c r="U18" s="144" t="str">
        <f>IF($A$5&gt;0," ",IF(AND(N18="A",F18&gt;0),(9687.52)*F18,IF(AND($A$5=0,C18="S",N18="A",F18=1),9687.52," ")))</f>
        <v> </v>
      </c>
      <c r="V18" s="128" t="str">
        <f>IF(AND(N18="A",F18&gt;=0,C18="s",$A$5&gt;0),9687.52*F18+114.01*Q18," ")</f>
        <v> </v>
      </c>
      <c r="W18" s="145" t="str">
        <f>IF(AND(OR(N18="B",N18="C"),$A$5=0,$C$5="N"),116.25*Q18+'DATI (2)'!$E$4*Q18,IF(AND(OR(N18="B",N18="C"),$A$5=0,$C$5="S"),114.01*Q18+'DATI (2)'!$E$4*Q18," "))</f>
        <v> </v>
      </c>
      <c r="X18" s="128" t="str">
        <f>IF(AND(OR(N18="B",N18="C"),C18="s",$A$5&gt;0),114.01*1.3*Q18+1.3*'DATI (2)'!$E$4*Q18," ")</f>
        <v> </v>
      </c>
      <c r="Y18" s="128" t="str">
        <f>IF(N18="E",IF(M18=1,'DATI (2)'!$E$7*T18,IF(M18=2,'DATI (2)'!$E$8*T18,IF(M18=3,'DATI (2)'!$E$9*T18)))*B18," ")</f>
        <v> </v>
      </c>
      <c r="Z18" s="130"/>
      <c r="AA18" s="131">
        <f>IF(Z18="X",'DATI (2)'!$E$5*P18*L18,"")</f>
      </c>
      <c r="AB18" s="132">
        <f>IF(G18="X",-SUM(U18:Y18)*'DATI (2)'!$E$15,"")</f>
      </c>
      <c r="AC18" s="133">
        <f>SUM(U18:AB18)</f>
        <v>0</v>
      </c>
      <c r="AD18" s="71"/>
      <c r="AE18" s="71"/>
      <c r="AF18" s="151"/>
      <c r="AG18" s="151"/>
      <c r="AH18" s="159"/>
      <c r="AI18" s="151"/>
      <c r="AJ18" s="151"/>
      <c r="AK18" s="151"/>
      <c r="AL18" s="151"/>
      <c r="AM18" s="71"/>
      <c r="AN18" s="71"/>
      <c r="AO18" s="71"/>
      <c r="AP18" s="71"/>
    </row>
    <row r="19" spans="1:43" ht="19.5" customHeight="1">
      <c r="A19" s="113"/>
      <c r="B19" s="113"/>
      <c r="C19" s="91"/>
      <c r="D19" s="160"/>
      <c r="E19" s="161"/>
      <c r="F19" s="162"/>
      <c r="G19" s="163"/>
      <c r="H19" s="163"/>
      <c r="I19" s="161"/>
      <c r="J19" s="164"/>
      <c r="K19" s="164"/>
      <c r="L19" s="164"/>
      <c r="M19" s="164"/>
      <c r="N19" s="165"/>
      <c r="O19" s="166"/>
      <c r="P19" s="167"/>
      <c r="Q19" s="168">
        <f>IF(P19&gt;0,(P19*K19),"")</f>
      </c>
      <c r="R19" s="168"/>
      <c r="S19" s="167"/>
      <c r="T19" s="169">
        <f>IF(OR(R19&gt;0,S19&gt;0),(R19+S19*0.6)*DATI!$E$14,"")</f>
      </c>
      <c r="U19" s="170" t="str">
        <f>IF($A$5&gt;0," ",IF(AND(N19="A",F19&gt;0),(9687.52)*F19,IF(AND($A$5=0,C19="S",N19="A",F19=1),9687.52," ")))</f>
        <v> </v>
      </c>
      <c r="V19" s="171" t="str">
        <f>IF(AND(N19="A",F19&gt;=0,C19="s",$A$5&gt;0),9687.52*F19+114.01*Q19," ")</f>
        <v> </v>
      </c>
      <c r="W19" s="172" t="str">
        <f>IF(AND(OR(N19="B",N19="C"),$A$5=0,$C$5="N"),116.25*Q19+'DATI (2)'!$E$4*Q19,IF(AND(OR(N19="B",N19="C"),$A$5=0,$C$5="S"),114.01*Q19+'DATI (2)'!$E$4*Q19," "))</f>
        <v> </v>
      </c>
      <c r="X19" s="171" t="str">
        <f>IF(AND(OR(N19="B",N19="C"),C19="s",$A$5&gt;0),114.01*1.3*Q19+1.3*'DATI (2)'!$E$4*Q19," ")</f>
        <v> </v>
      </c>
      <c r="Y19" s="171" t="str">
        <f>IF(N19="E",IF(M19=1,'DATI (2)'!$E$7*T19,IF(M19=2,'DATI (2)'!$E$8*T19,IF(M19=3,'DATI (2)'!$E$9*T19)))*B19," ")</f>
        <v> </v>
      </c>
      <c r="Z19" s="173"/>
      <c r="AA19" s="174">
        <f>IF(Z19="X",'DATI (2)'!$E$5*P19*L19,"")</f>
      </c>
      <c r="AB19" s="175">
        <f>IF(G19="X",-SUM(U19:Y19)*'DATI (2)'!$E$15,"")</f>
      </c>
      <c r="AC19" s="176">
        <f>SUM(U19:AB19)</f>
        <v>0</v>
      </c>
      <c r="AD19" s="71"/>
      <c r="AE19" s="71"/>
      <c r="AF19" s="151"/>
      <c r="AG19" s="151"/>
      <c r="AH19" s="151"/>
      <c r="AI19" s="151"/>
      <c r="AJ19" s="151"/>
      <c r="AN19" s="69"/>
      <c r="AO19" s="177"/>
      <c r="AP19" s="69"/>
      <c r="AQ19" s="69"/>
    </row>
    <row r="20" spans="1:43" ht="26.25" customHeight="1">
      <c r="A20" s="113"/>
      <c r="B20" s="113"/>
      <c r="C20" s="91"/>
      <c r="D20" s="178"/>
      <c r="E20" s="179"/>
      <c r="F20" s="179"/>
      <c r="G20" s="179"/>
      <c r="H20" s="179"/>
      <c r="I20" s="179"/>
      <c r="J20" s="179" t="s">
        <v>78</v>
      </c>
      <c r="K20" s="179"/>
      <c r="L20" s="179"/>
      <c r="M20" s="179"/>
      <c r="N20" s="179"/>
      <c r="O20" s="179"/>
      <c r="P20" s="180">
        <f>SUM(P5:P19)</f>
        <v>326</v>
      </c>
      <c r="Q20" s="180">
        <f>SUM(Q5:Q19)</f>
        <v>753.6</v>
      </c>
      <c r="R20" s="179" t="s">
        <v>79</v>
      </c>
      <c r="S20" s="179"/>
      <c r="T20" s="180">
        <f>SUM(T5:T19)</f>
        <v>569.16</v>
      </c>
      <c r="U20" s="181">
        <f>SUM(U5:U19)</f>
        <v>0</v>
      </c>
      <c r="V20" s="181">
        <f>SUM(V5:V19)</f>
        <v>89331.576</v>
      </c>
      <c r="W20" s="181">
        <f>SUM(W5:W19)</f>
        <v>0</v>
      </c>
      <c r="X20" s="181">
        <f>SUM(X5:X19)</f>
        <v>0</v>
      </c>
      <c r="Y20" s="181">
        <f>SUM(Y5:Y19)</f>
        <v>91152.09599999999</v>
      </c>
      <c r="Z20" s="181"/>
      <c r="AA20" s="181">
        <f>SUM(AA5:AA19)</f>
        <v>0</v>
      </c>
      <c r="AB20" s="182">
        <f>SUM(AB5:AB19)</f>
        <v>0</v>
      </c>
      <c r="AC20" s="183">
        <f>SUM(AC5:AC19)</f>
        <v>180483.67199999996</v>
      </c>
      <c r="AD20" s="71"/>
      <c r="AE20" s="71"/>
      <c r="AF20" s="151"/>
      <c r="AG20" s="151"/>
      <c r="AH20" s="151"/>
      <c r="AI20" s="151"/>
      <c r="AJ20" s="151"/>
      <c r="AN20" s="69"/>
      <c r="AO20" s="177"/>
      <c r="AP20" s="69"/>
      <c r="AQ20" s="69"/>
    </row>
    <row r="21" spans="4:43" ht="29.25" customHeight="1">
      <c r="D21" s="184"/>
      <c r="E21" s="185"/>
      <c r="F21" s="185"/>
      <c r="G21" s="186"/>
      <c r="H21" s="187" t="s">
        <v>80</v>
      </c>
      <c r="I21" s="188"/>
      <c r="J21" s="189"/>
      <c r="K21" s="189"/>
      <c r="L21" s="188"/>
      <c r="M21" s="188"/>
      <c r="N21" s="190">
        <f>AN42/Q20</f>
        <v>0.476380042462845</v>
      </c>
      <c r="O21" s="185"/>
      <c r="P21" s="187" t="s">
        <v>81</v>
      </c>
      <c r="Q21" s="191"/>
      <c r="R21" s="192"/>
      <c r="S21" s="192"/>
      <c r="T21" s="190">
        <f>(Q20-AN41-AK45)/Q20</f>
        <v>0.2449575371549894</v>
      </c>
      <c r="U21" s="193"/>
      <c r="V21" s="187" t="s">
        <v>82</v>
      </c>
      <c r="W21" s="189"/>
      <c r="X21" s="194"/>
      <c r="Y21" s="190">
        <f>SUM(S5:S19)/DATI!$E$14/Q20</f>
        <v>0.2786624203821656</v>
      </c>
      <c r="Z21" s="193"/>
      <c r="AA21" s="193"/>
      <c r="AB21" s="193"/>
      <c r="AC21" s="195"/>
      <c r="AD21" s="196"/>
      <c r="AE21" s="196"/>
      <c r="AF21" s="197"/>
      <c r="AG21" s="197"/>
      <c r="AH21" s="197"/>
      <c r="AI21" s="197"/>
      <c r="AJ21" s="197"/>
      <c r="AN21" s="69"/>
      <c r="AO21" s="177"/>
      <c r="AP21" s="198"/>
      <c r="AQ21" s="69"/>
    </row>
    <row r="22" spans="1:42" ht="19.5" customHeight="1">
      <c r="A22" s="113"/>
      <c r="B22" s="113"/>
      <c r="P22" s="68"/>
      <c r="Q22" s="68"/>
      <c r="R22" s="68"/>
      <c r="S22" s="68"/>
      <c r="AF22" s="151"/>
      <c r="AG22" s="151"/>
      <c r="AH22" s="151"/>
      <c r="AI22" s="151"/>
      <c r="AJ22" s="151"/>
      <c r="AK22" s="151"/>
      <c r="AL22" s="151"/>
      <c r="AM22" s="71"/>
      <c r="AN22" s="71"/>
      <c r="AO22" s="71"/>
      <c r="AP22" s="71"/>
    </row>
    <row r="23" spans="1:42" ht="19.5" customHeight="1">
      <c r="A23" s="113"/>
      <c r="B23" s="113"/>
      <c r="AF23" s="151"/>
      <c r="AG23" s="151"/>
      <c r="AH23" s="151"/>
      <c r="AI23" s="151"/>
      <c r="AJ23" s="151"/>
      <c r="AK23" s="151"/>
      <c r="AL23" s="151"/>
      <c r="AM23" s="71"/>
      <c r="AN23" s="71"/>
      <c r="AO23" s="71"/>
      <c r="AP23" s="71"/>
    </row>
    <row r="24" spans="1:67" ht="28.5" customHeight="1">
      <c r="A24" s="113"/>
      <c r="B24" s="113"/>
      <c r="D24" s="199" t="s">
        <v>83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 t="s">
        <v>84</v>
      </c>
      <c r="Z24" s="199"/>
      <c r="AA24" s="199"/>
      <c r="AB24" s="199"/>
      <c r="AC24" s="199"/>
      <c r="AF24" s="151"/>
      <c r="AG24" s="151"/>
      <c r="AH24" s="200" t="s">
        <v>85</v>
      </c>
      <c r="AI24" s="201" t="s">
        <v>86</v>
      </c>
      <c r="AJ24" s="201"/>
      <c r="AK24" s="201"/>
      <c r="AL24" s="202" t="s">
        <v>87</v>
      </c>
      <c r="AM24" s="202"/>
      <c r="AQ24" s="203" t="s">
        <v>85</v>
      </c>
      <c r="AR24" s="203"/>
      <c r="AS24" s="203" t="s">
        <v>88</v>
      </c>
      <c r="AT24" s="203"/>
      <c r="AV24" s="204" t="s">
        <v>89</v>
      </c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</row>
    <row r="25" spans="4:75" ht="75" customHeight="1">
      <c r="D25" s="205" t="s">
        <v>43</v>
      </c>
      <c r="E25" s="206" t="s">
        <v>45</v>
      </c>
      <c r="F25" s="207" t="s">
        <v>90</v>
      </c>
      <c r="G25" s="208" t="s">
        <v>91</v>
      </c>
      <c r="H25" s="209" t="s">
        <v>67</v>
      </c>
      <c r="I25" s="209"/>
      <c r="J25" s="209"/>
      <c r="K25" s="210" t="s">
        <v>92</v>
      </c>
      <c r="L25" s="210"/>
      <c r="M25" s="211" t="s">
        <v>93</v>
      </c>
      <c r="N25" s="211"/>
      <c r="O25" s="212" t="s">
        <v>94</v>
      </c>
      <c r="P25" s="210" t="s">
        <v>95</v>
      </c>
      <c r="Q25" s="213" t="s">
        <v>96</v>
      </c>
      <c r="R25" s="214" t="s">
        <v>97</v>
      </c>
      <c r="S25" s="215" t="s">
        <v>98</v>
      </c>
      <c r="T25" s="212" t="s">
        <v>99</v>
      </c>
      <c r="U25" s="216" t="s">
        <v>100</v>
      </c>
      <c r="V25" s="215" t="s">
        <v>101</v>
      </c>
      <c r="W25" s="212" t="s">
        <v>102</v>
      </c>
      <c r="X25" s="216" t="s">
        <v>103</v>
      </c>
      <c r="Y25" s="211" t="s">
        <v>104</v>
      </c>
      <c r="Z25" s="217" t="s">
        <v>105</v>
      </c>
      <c r="AA25" s="217"/>
      <c r="AB25" s="218" t="s">
        <v>106</v>
      </c>
      <c r="AC25" s="218"/>
      <c r="AF25" s="151"/>
      <c r="AG25" s="151"/>
      <c r="AH25" s="219" t="s">
        <v>77</v>
      </c>
      <c r="AI25" s="219" t="s">
        <v>77</v>
      </c>
      <c r="AJ25" s="219" t="s">
        <v>107</v>
      </c>
      <c r="AK25" s="219" t="s">
        <v>72</v>
      </c>
      <c r="AL25" s="219" t="s">
        <v>72</v>
      </c>
      <c r="AM25" s="219" t="s">
        <v>72</v>
      </c>
      <c r="AN25" s="219" t="s">
        <v>108</v>
      </c>
      <c r="AQ25" s="220" t="s">
        <v>109</v>
      </c>
      <c r="AR25" s="220" t="s">
        <v>110</v>
      </c>
      <c r="AS25" s="221" t="s">
        <v>71</v>
      </c>
      <c r="AT25" s="221" t="s">
        <v>75</v>
      </c>
      <c r="AV25" s="220" t="s">
        <v>111</v>
      </c>
      <c r="AW25" s="220"/>
      <c r="AX25" s="220" t="s">
        <v>112</v>
      </c>
      <c r="AY25" s="220"/>
      <c r="AZ25" s="220" t="s">
        <v>110</v>
      </c>
      <c r="BA25" s="220"/>
      <c r="BC25" s="220" t="s">
        <v>113</v>
      </c>
      <c r="BD25" s="220"/>
      <c r="BE25" s="220" t="s">
        <v>114</v>
      </c>
      <c r="BF25" s="220"/>
      <c r="BG25" s="220" t="s">
        <v>115</v>
      </c>
      <c r="BH25" s="220"/>
      <c r="BJ25" s="220" t="s">
        <v>116</v>
      </c>
      <c r="BK25" s="220"/>
      <c r="BL25" s="220" t="s">
        <v>117</v>
      </c>
      <c r="BM25" s="220"/>
      <c r="BN25" s="220" t="s">
        <v>118</v>
      </c>
      <c r="BQ25" s="68" t="s">
        <v>119</v>
      </c>
      <c r="BR25" s="68" t="s">
        <v>120</v>
      </c>
      <c r="BS25" s="68" t="s">
        <v>121</v>
      </c>
      <c r="BT25" s="68" t="s">
        <v>122</v>
      </c>
      <c r="BU25" s="68" t="s">
        <v>123</v>
      </c>
      <c r="BW25" s="222" t="s">
        <v>124</v>
      </c>
    </row>
    <row r="26" spans="4:75" ht="19.5" customHeight="1">
      <c r="D26" s="223">
        <f>D5</f>
        <v>40</v>
      </c>
      <c r="E26" s="224">
        <f>F5</f>
        <v>1</v>
      </c>
      <c r="F26" s="225" t="str">
        <f>N5</f>
        <v>A</v>
      </c>
      <c r="G26" s="226">
        <f>Q5</f>
        <v>216</v>
      </c>
      <c r="H26" s="227">
        <f>AC5</f>
        <v>34313.68</v>
      </c>
      <c r="I26" s="227"/>
      <c r="J26" s="227"/>
      <c r="K26" s="228">
        <f>(H26)*0.1</f>
        <v>3431.3680000000004</v>
      </c>
      <c r="L26" s="228"/>
      <c r="M26" s="229">
        <f>IF($C$5="s",IF(SUM($H$41)&lt;=1000000,SUM(H26)*0.02,SUM(H26)*0.01),0)</f>
        <v>686.2736</v>
      </c>
      <c r="N26" s="229"/>
      <c r="O26" s="230">
        <f>(M26*(0.04))</f>
        <v>27.450944</v>
      </c>
      <c r="P26" s="231">
        <f>(M26+O26)*0.22</f>
        <v>157.01939968000002</v>
      </c>
      <c r="Q26" s="232">
        <f>IF(F26="E",G26*12,0)</f>
        <v>0</v>
      </c>
      <c r="R26" s="233">
        <f>BW26*0.22</f>
        <v>0</v>
      </c>
      <c r="S26" s="234">
        <f>IF(F26="E",H26*1.5%,0)</f>
        <v>0</v>
      </c>
      <c r="T26" s="235">
        <f>S26*0.02</f>
        <v>0</v>
      </c>
      <c r="U26" s="236">
        <f>(S26+T26)*0.22</f>
        <v>0</v>
      </c>
      <c r="V26" s="232">
        <f>H26*0.15</f>
        <v>5147.052</v>
      </c>
      <c r="W26" s="230">
        <f>V26*0.04</f>
        <v>205.88208</v>
      </c>
      <c r="X26" s="237">
        <f>0.22*(W26+V26)</f>
        <v>1177.6454976</v>
      </c>
      <c r="Y26" s="238">
        <f>SUM(K26:X26)-Q26+BW26</f>
        <v>10832.69152128</v>
      </c>
      <c r="Z26" s="239">
        <f>Y26+H26</f>
        <v>45146.37152128</v>
      </c>
      <c r="AA26" s="239"/>
      <c r="AB26" s="240">
        <f>SUM(Z26:AA40)</f>
        <v>245263.090339648</v>
      </c>
      <c r="AC26" s="240"/>
      <c r="AF26" s="151"/>
      <c r="AG26" s="151"/>
      <c r="AH26" s="241">
        <f>IF($N5="E",$T5,0)</f>
        <v>0</v>
      </c>
      <c r="AI26" s="241">
        <f>IF(OR($F26="E",$F26="E"),$G26,0)</f>
        <v>0</v>
      </c>
      <c r="AJ26" s="241">
        <f>IF(OR($F26="B",$F26="C"),$G26,0)</f>
        <v>0</v>
      </c>
      <c r="AK26" s="241">
        <f>IF($F26="A",$G26,0)</f>
        <v>216</v>
      </c>
      <c r="AL26" s="241">
        <f>IF($N5="A",$F5,0)</f>
        <v>1</v>
      </c>
      <c r="AM26" s="241">
        <f>IF(AND($F26="A",$F5&gt;0),$G26,0)</f>
        <v>216</v>
      </c>
      <c r="AN26" s="241">
        <f>IF($F5&gt;0,$G26,0)</f>
        <v>216</v>
      </c>
      <c r="AQ26" s="242">
        <f>IF($N5="E",$R5/'DATI (2)'!$E$13,0)</f>
        <v>0</v>
      </c>
      <c r="AR26" s="242">
        <f>IF($N5="E",$S5/'DATI (2)'!$E$14,0)</f>
        <v>0</v>
      </c>
      <c r="AS26" s="243">
        <f>($R5)/'DATI (2)'!$E$13</f>
        <v>216</v>
      </c>
      <c r="AT26" s="243">
        <f>$S5/'DATI (2)'!$E$14</f>
        <v>0</v>
      </c>
      <c r="AV26" s="242">
        <f>IF(AND($F26="E",$F5&gt;0),$R5/'DATI (2)'!$E$13,0)</f>
        <v>0</v>
      </c>
      <c r="AW26" s="244">
        <f>IF(AND($F26="E",$F5&gt;0),$Z26,0)</f>
        <v>0</v>
      </c>
      <c r="AX26" s="242">
        <f>IF(AND($F26="E",$F5=0),$R5/'DATI (2)'!$E$13,0)</f>
        <v>0</v>
      </c>
      <c r="AY26" s="244">
        <f>IF(AND($F26="E",$F5=0,R5&gt;0),$Z26*$BT26,0)</f>
        <v>0</v>
      </c>
      <c r="AZ26" s="242">
        <f>IF(AND($F26="E"),$S5/'DATI (2)'!$E$13,0)</f>
        <v>0</v>
      </c>
      <c r="BA26" s="244">
        <f>IF(AND($F26="E",$S5&gt;0),$Z26*$BU26,0)</f>
        <v>0</v>
      </c>
      <c r="BC26" s="242">
        <f>IF(AND(OR($F26="B",$F26="C"),$F5&gt;0),$R5/'DATI (2)'!$E$13,0)</f>
        <v>0</v>
      </c>
      <c r="BD26" s="244">
        <f>IF(AND(AND(OR($F26="B",$F26="C")),$F5&gt;0),$Z26,0)</f>
        <v>0</v>
      </c>
      <c r="BE26" s="242">
        <f>IF(AND(OR($F26="B",$F26="C"),$F5=0),$R5/'DATI (2)'!$E$13,0)</f>
        <v>0</v>
      </c>
      <c r="BF26" s="244">
        <f>IF(AND((OR($F26="B",$F26="C")),$F5=0,R5&gt;0),$Z26*$BT26,0)</f>
        <v>0</v>
      </c>
      <c r="BG26" s="242">
        <f>IF(AND(OR($F26="B",$F26="C")),$S5/'DATI (2)'!$E$13,0)</f>
        <v>0</v>
      </c>
      <c r="BH26" s="244">
        <f>IF(AND((OR($F26="B",$F26="C")),$S5&gt;0),$Z26*$BU26,0)</f>
        <v>0</v>
      </c>
      <c r="BJ26" s="242">
        <f>IF(AND($F26="A",$F5&gt;0),$R5/'DATI (2)'!$E$13,0)</f>
        <v>216</v>
      </c>
      <c r="BK26" s="244">
        <f>IF(AND($F26="a",$F5&gt;0),$Z26,0)</f>
        <v>45146.37152128</v>
      </c>
      <c r="BL26" s="242">
        <f>IF(AND($F26="A",$F5=0),$R5/'DATI (2)'!$E$13,0)</f>
        <v>0</v>
      </c>
      <c r="BM26" s="244">
        <f>IF(AND($F26="a",$F5=0,R5&gt;0),$Z26*$BT26,0)</f>
        <v>0</v>
      </c>
      <c r="BN26" s="242">
        <f>IF(AND($F26="A"),$S5/'DATI (2)'!$E$13,0)</f>
        <v>0</v>
      </c>
      <c r="BO26" s="244">
        <f>IF(AND($F26="a",$S5&gt;0),$Z26*$BU26,0)</f>
        <v>0</v>
      </c>
      <c r="BQ26" s="245">
        <f>Q5</f>
        <v>216</v>
      </c>
      <c r="BR26" s="245">
        <f>R5/'DATI (2)'!$E$13</f>
        <v>216</v>
      </c>
      <c r="BS26" s="245">
        <f>S5/'DATI (2)'!$E$14</f>
        <v>0</v>
      </c>
      <c r="BT26" s="245">
        <f>BR26/BQ26</f>
        <v>1</v>
      </c>
      <c r="BU26" s="245">
        <f>BS26/BQ26</f>
        <v>0</v>
      </c>
      <c r="BW26" s="68">
        <f>IF(F26="E",$Q$41*G26/$AI$41,0)</f>
        <v>0</v>
      </c>
    </row>
    <row r="27" spans="4:75" ht="19.5" customHeight="1">
      <c r="D27" s="246">
        <f>D6</f>
        <v>66</v>
      </c>
      <c r="E27" s="247">
        <f>F6</f>
        <v>1</v>
      </c>
      <c r="F27" s="248" t="str">
        <f>N6</f>
        <v>A</v>
      </c>
      <c r="G27" s="249">
        <f>Q6</f>
        <v>143</v>
      </c>
      <c r="H27" s="250">
        <f>AC6</f>
        <v>25990.95</v>
      </c>
      <c r="I27" s="250"/>
      <c r="J27" s="250"/>
      <c r="K27" s="251">
        <f>(H27)*0.1</f>
        <v>2599.0950000000003</v>
      </c>
      <c r="L27" s="251"/>
      <c r="M27" s="252">
        <f>IF($C$5="s",IF(SUM($H$41)&lt;=1000000,SUM(H27)*0.02,SUM(H27)*0.01),0)</f>
        <v>519.8190000000001</v>
      </c>
      <c r="N27" s="252"/>
      <c r="O27" s="253">
        <f>(M27*(0.04))</f>
        <v>20.792760000000005</v>
      </c>
      <c r="P27" s="254">
        <f>(M27+O27)*0.22</f>
        <v>118.93458720000002</v>
      </c>
      <c r="Q27" s="255">
        <f>IF(F27="E",G27*12,0)</f>
        <v>0</v>
      </c>
      <c r="R27" s="256">
        <f>BW27*0.22</f>
        <v>0</v>
      </c>
      <c r="S27" s="257">
        <f>IF(F27="E",H27*1.5%,0)</f>
        <v>0</v>
      </c>
      <c r="T27" s="258">
        <f>S27*0.02</f>
        <v>0</v>
      </c>
      <c r="U27" s="259">
        <f>(S27+T27)*0.22</f>
        <v>0</v>
      </c>
      <c r="V27" s="255">
        <f>H27*0.15</f>
        <v>3898.6425</v>
      </c>
      <c r="W27" s="253">
        <f>V27*0.04</f>
        <v>155.9457</v>
      </c>
      <c r="X27" s="260">
        <f>0.22*(W27+V27)</f>
        <v>892.009404</v>
      </c>
      <c r="Y27" s="261">
        <f>SUM(K27:X27)-Q27+BW27</f>
        <v>8205.2389512</v>
      </c>
      <c r="Z27" s="262">
        <f>Y27+H27</f>
        <v>34196.188951200005</v>
      </c>
      <c r="AA27" s="262"/>
      <c r="AB27" s="240"/>
      <c r="AC27" s="240"/>
      <c r="AF27" s="151"/>
      <c r="AG27" s="151"/>
      <c r="AH27" s="241">
        <f>IF($N6="E",$T6,0)</f>
        <v>0</v>
      </c>
      <c r="AI27" s="241">
        <f>IF(OR($F27="E",$F27="E"),$G27,0)</f>
        <v>0</v>
      </c>
      <c r="AJ27" s="241">
        <f>IF(OR($F27="B",$F27="C"),$G27,0)</f>
        <v>0</v>
      </c>
      <c r="AK27" s="241">
        <f>IF($F27="A",$G27,0)</f>
        <v>143</v>
      </c>
      <c r="AL27" s="241">
        <f>IF($N6="A",$F6,0)</f>
        <v>1</v>
      </c>
      <c r="AM27" s="241">
        <f>IF(AND($F27="A",$F6&gt;0),$G27,0)</f>
        <v>143</v>
      </c>
      <c r="AN27" s="241">
        <f>IF($F6&gt;0,$G27,0)</f>
        <v>143</v>
      </c>
      <c r="AQ27" s="242">
        <f>IF($N6="E",$R6/'DATI (2)'!$E$13,0)</f>
        <v>0</v>
      </c>
      <c r="AR27" s="242">
        <f>IF($N6="E",$S6/'DATI (2)'!$E$14,0)</f>
        <v>0</v>
      </c>
      <c r="AS27" s="243">
        <f>($R6)/'DATI (2)'!$E$13</f>
        <v>143</v>
      </c>
      <c r="AT27" s="243">
        <f>$S6/'DATI (2)'!$E$14</f>
        <v>0</v>
      </c>
      <c r="AV27" s="242">
        <f>IF(AND($F27="E",$F6&gt;0),$R6/'DATI (2)'!$E$13,0)</f>
        <v>0</v>
      </c>
      <c r="AW27" s="244">
        <f>IF(AND($F27="E",$F6&gt;0),$Z27,0)</f>
        <v>0</v>
      </c>
      <c r="AX27" s="242">
        <f>IF(AND($F27="E",$F6=0),$R6/'DATI (2)'!$E$13,0)</f>
        <v>0</v>
      </c>
      <c r="AY27" s="244">
        <f>IF(AND($F27="E",$F6=0,R6&gt;0),$Z27*$BT27,0)</f>
        <v>0</v>
      </c>
      <c r="AZ27" s="242">
        <f>IF(AND($F27="E"),$S6/'DATI (2)'!$E$13,0)</f>
        <v>0</v>
      </c>
      <c r="BA27" s="244">
        <f>IF(AND($F27="E",$S6&gt;0),$Z27*$BU27,0)</f>
        <v>0</v>
      </c>
      <c r="BC27" s="242">
        <f>IF(AND(OR($F27="B",$F27="C"),$F6&gt;0),$R6/'DATI (2)'!$E$13,0)</f>
        <v>0</v>
      </c>
      <c r="BD27" s="244">
        <f>IF(AND(AND(OR($F27="B",$F27="C")),$F6&gt;0),$Z27,0)</f>
        <v>0</v>
      </c>
      <c r="BE27" s="242">
        <f>IF(AND(OR($F27="B",$F27="C"),$F6=0),$R6/'DATI (2)'!$E$13,0)</f>
        <v>0</v>
      </c>
      <c r="BF27" s="244">
        <f>IF(AND((OR($F27="B",$F27="C")),$F6=0,R6&gt;0),$Z27*$BT27,0)</f>
        <v>0</v>
      </c>
      <c r="BG27" s="242">
        <f>IF(AND(OR($F27="B",$F27="C")),$S6/'DATI (2)'!$E$13,0)</f>
        <v>0</v>
      </c>
      <c r="BH27" s="244">
        <f>IF(AND((OR($F27="B",$F27="C")),$S6&gt;0),$Z27*$BU27,0)</f>
        <v>0</v>
      </c>
      <c r="BJ27" s="242">
        <f>IF(AND($F27="A",$F6&gt;0),$R6/'DATI (2)'!$E$13,0)</f>
        <v>143</v>
      </c>
      <c r="BK27" s="244">
        <f>IF(AND($F27="a",$F6&gt;0),$Z27,0)</f>
        <v>34196.188951200005</v>
      </c>
      <c r="BL27" s="242">
        <f>IF(AND($F27="A",$F6=0),$R6/'DATI (2)'!$E$13,0)</f>
        <v>0</v>
      </c>
      <c r="BM27" s="244">
        <f>IF(AND($F27="a",$F6=0,R6&gt;0),$Z27*$BT27,0)</f>
        <v>0</v>
      </c>
      <c r="BN27" s="242">
        <f>IF(AND($F27="A"),$S6/'DATI (2)'!$E$13,0)</f>
        <v>0</v>
      </c>
      <c r="BO27" s="244">
        <f>IF(AND($F27="a",$S6&gt;0),$Z27*$BU27,0)</f>
        <v>0</v>
      </c>
      <c r="BQ27" s="245">
        <f>Q6</f>
        <v>143</v>
      </c>
      <c r="BR27" s="245">
        <f>R6/'DATI (2)'!$E$13</f>
        <v>143</v>
      </c>
      <c r="BS27" s="245">
        <f>S6/'DATI (2)'!$E$14</f>
        <v>0</v>
      </c>
      <c r="BT27" s="245">
        <f>BR27/BQ27</f>
        <v>1</v>
      </c>
      <c r="BU27" s="245">
        <f>BS27/BQ27</f>
        <v>0</v>
      </c>
      <c r="BW27" s="68">
        <f>IF(F27="E",$Q$41*G27/$AI$41,0)</f>
        <v>0</v>
      </c>
    </row>
    <row r="28" spans="4:75" ht="19.5" customHeight="1">
      <c r="D28" s="246">
        <f>D7</f>
        <v>82</v>
      </c>
      <c r="E28" s="247">
        <f>F7</f>
        <v>0</v>
      </c>
      <c r="F28" s="248" t="str">
        <f>N7</f>
        <v>E</v>
      </c>
      <c r="G28" s="249">
        <f>Q7</f>
        <v>140</v>
      </c>
      <c r="H28" s="250">
        <f>AC7</f>
        <v>91152.09599999999</v>
      </c>
      <c r="I28" s="250"/>
      <c r="J28" s="250"/>
      <c r="K28" s="251">
        <f>(H28)*0.1</f>
        <v>9115.2096</v>
      </c>
      <c r="L28" s="251"/>
      <c r="M28" s="252">
        <f>IF($C$5="s",IF(SUM($H$41)&lt;=1000000,SUM(H28)*0.02,SUM(H28)*0.01),0)</f>
        <v>1823.04192</v>
      </c>
      <c r="N28" s="252"/>
      <c r="O28" s="253">
        <f>(M28*(0.04))</f>
        <v>72.9216768</v>
      </c>
      <c r="P28" s="254">
        <f>(M28+O28)*0.22</f>
        <v>417.1119912959999</v>
      </c>
      <c r="Q28" s="255">
        <f>IF(F28="E",G28*12,0)</f>
        <v>1680</v>
      </c>
      <c r="R28" s="256">
        <f>BW28*0.22</f>
        <v>1100</v>
      </c>
      <c r="S28" s="257">
        <f>IF(F28="E",H28*1.5%,0)</f>
        <v>1367.2814399999997</v>
      </c>
      <c r="T28" s="258">
        <f>S28*0.02</f>
        <v>27.345628799999997</v>
      </c>
      <c r="U28" s="259">
        <f>(S28+T28)*0.22</f>
        <v>306.81795513599997</v>
      </c>
      <c r="V28" s="255">
        <f>H28*0.15</f>
        <v>13672.814399999997</v>
      </c>
      <c r="W28" s="253">
        <f>V28*0.04</f>
        <v>546.912576</v>
      </c>
      <c r="X28" s="260">
        <f>0.22*(W28+V28)</f>
        <v>3128.3399347199997</v>
      </c>
      <c r="Y28" s="261">
        <f>SUM(K28:X28)-Q28+BW28</f>
        <v>36577.797122751996</v>
      </c>
      <c r="Z28" s="262">
        <f>Y28+H28</f>
        <v>127729.893122752</v>
      </c>
      <c r="AA28" s="262"/>
      <c r="AB28" s="240"/>
      <c r="AC28" s="240"/>
      <c r="AF28" s="151"/>
      <c r="AG28" s="151"/>
      <c r="AH28" s="241">
        <f>IF($N7="E",$T7,0)</f>
        <v>71.39999999999999</v>
      </c>
      <c r="AI28" s="241">
        <f>IF(OR($F28="E",$F28="E"),$G28,0)</f>
        <v>140</v>
      </c>
      <c r="AJ28" s="241">
        <f>IF(OR($F28="B",$F28="C"),$G28,0)</f>
        <v>0</v>
      </c>
      <c r="AK28" s="241">
        <f>IF($F28="A",$G28,0)</f>
        <v>0</v>
      </c>
      <c r="AL28" s="241">
        <f>IF($N7="A",$F7,0)</f>
        <v>0</v>
      </c>
      <c r="AM28" s="241">
        <f>IF(AND($F28="A",$F7&gt;0),$G28,0)</f>
        <v>0</v>
      </c>
      <c r="AN28" s="241">
        <f>IF($F7&gt;0,$G28,0)</f>
        <v>0</v>
      </c>
      <c r="AQ28" s="242">
        <f>IF($N7="E",$R7/'DATI (2)'!$E$13,0)</f>
        <v>0</v>
      </c>
      <c r="AR28" s="242">
        <f>IF($N7="E",$S7/'DATI (2)'!$E$14,0)</f>
        <v>140</v>
      </c>
      <c r="AS28" s="243">
        <f>($R7)/'DATI (2)'!$E$13</f>
        <v>0</v>
      </c>
      <c r="AT28" s="243">
        <f>$S7/'DATI (2)'!$E$14</f>
        <v>140</v>
      </c>
      <c r="AV28" s="242">
        <f>IF(AND($F28="E",$F7&gt;0),$R7/'DATI (2)'!$E$13,0)</f>
        <v>0</v>
      </c>
      <c r="AW28" s="244">
        <f>IF(AND($F28="E",$F7&gt;0),$Z28,0)</f>
        <v>0</v>
      </c>
      <c r="AX28" s="242">
        <f>IF(AND($F28="E",$F7=0),$R7/'DATI (2)'!$E$13,0)</f>
        <v>0</v>
      </c>
      <c r="AY28" s="244">
        <f>IF(AND($F28="E",$F7=0,R7&gt;0),$Z28*$BT28,0)</f>
        <v>0</v>
      </c>
      <c r="AZ28" s="242">
        <f>IF(AND($F28="E"),$S7/'DATI (2)'!$E$13,0)</f>
        <v>140</v>
      </c>
      <c r="BA28" s="244">
        <f>IF(AND($F28="E",$S7&gt;0),$Z28*$BU28,0)</f>
        <v>127729.893122752</v>
      </c>
      <c r="BC28" s="242">
        <f>IF(AND(OR($F28="B",$F28="C"),$F7&gt;0),$R7/'DATI (2)'!$E$13,0)</f>
        <v>0</v>
      </c>
      <c r="BD28" s="244">
        <f>IF(AND(AND(OR($F28="B",$F28="C")),$F7&gt;0),$Z28,0)</f>
        <v>0</v>
      </c>
      <c r="BE28" s="242">
        <f>IF(AND(OR($F28="B",$F28="C"),$F7=0),$R7/'DATI (2)'!$E$13,0)</f>
        <v>0</v>
      </c>
      <c r="BF28" s="244">
        <f>IF(AND((OR($F28="B",$F28="C")),$F7=0,R7&gt;0),$Z28*$BT28,0)</f>
        <v>0</v>
      </c>
      <c r="BG28" s="242">
        <f>IF(AND(OR($F28="B",$F28="C")),$S7/'DATI (2)'!$E$13,0)</f>
        <v>0</v>
      </c>
      <c r="BH28" s="244">
        <f>IF(AND((OR($F28="B",$F28="C")),$S7&gt;0),$Z28*$BU28,0)</f>
        <v>0</v>
      </c>
      <c r="BJ28" s="242">
        <f>IF(AND($F28="A",$F7&gt;0),$R7/'DATI (2)'!$E$13,0)</f>
        <v>0</v>
      </c>
      <c r="BK28" s="244">
        <f>IF(AND($F28="a",$F7&gt;0),$Z28,0)</f>
        <v>0</v>
      </c>
      <c r="BL28" s="242">
        <f>IF(AND($F28="A",$F7=0),$R7/'DATI (2)'!$E$13,0)</f>
        <v>0</v>
      </c>
      <c r="BM28" s="244">
        <f>IF(AND($F28="a",$F7=0,R7&gt;0),$Z28*$BT28,0)</f>
        <v>0</v>
      </c>
      <c r="BN28" s="242">
        <f>IF(AND($F28="A"),$S7/'DATI (2)'!$E$13,0)</f>
        <v>0</v>
      </c>
      <c r="BO28" s="244">
        <f>IF(AND($F28="a",$S7&gt;0),$Z28*$BU28,0)</f>
        <v>0</v>
      </c>
      <c r="BQ28" s="245">
        <f>Q7</f>
        <v>140</v>
      </c>
      <c r="BR28" s="245">
        <f>R7/'DATI (2)'!$E$13</f>
        <v>0</v>
      </c>
      <c r="BS28" s="245">
        <f>S7/'DATI (2)'!$E$14</f>
        <v>140</v>
      </c>
      <c r="BT28" s="245">
        <f>BR28/BQ28</f>
        <v>0</v>
      </c>
      <c r="BU28" s="245">
        <f>BS28/BQ28</f>
        <v>1</v>
      </c>
      <c r="BW28" s="263">
        <f>IF(F28="E",$Q$41*G28/$AI$41,0)</f>
        <v>5000</v>
      </c>
    </row>
    <row r="29" spans="4:75" ht="19.5" customHeight="1">
      <c r="D29" s="246">
        <f>D8</f>
        <v>38</v>
      </c>
      <c r="E29" s="247">
        <f>F8</f>
        <v>0</v>
      </c>
      <c r="F29" s="248" t="str">
        <f>N8</f>
        <v>A</v>
      </c>
      <c r="G29" s="249">
        <f>Q8</f>
        <v>70</v>
      </c>
      <c r="H29" s="250">
        <f>AC8</f>
        <v>7980.700000000001</v>
      </c>
      <c r="I29" s="250"/>
      <c r="J29" s="250"/>
      <c r="K29" s="251">
        <f>(H29)*0.1</f>
        <v>798.0700000000002</v>
      </c>
      <c r="L29" s="251"/>
      <c r="M29" s="252">
        <f>IF($C$5="s",IF(SUM($H$41)&lt;=1000000,SUM(H29)*0.02,SUM(H29)*0.01),0)</f>
        <v>159.614</v>
      </c>
      <c r="N29" s="252"/>
      <c r="O29" s="253">
        <f>(M29*(0.04))</f>
        <v>6.3845600000000005</v>
      </c>
      <c r="P29" s="254">
        <f>(M29+O29)*0.22</f>
        <v>36.5196832</v>
      </c>
      <c r="Q29" s="255">
        <f>IF(F29="E",G29*12,0)</f>
        <v>0</v>
      </c>
      <c r="R29" s="256">
        <f>BW29*0.22</f>
        <v>0</v>
      </c>
      <c r="S29" s="257">
        <f>IF(F29="E",H29*1.5%,0)</f>
        <v>0</v>
      </c>
      <c r="T29" s="258">
        <f>S29*0.02</f>
        <v>0</v>
      </c>
      <c r="U29" s="259">
        <f>(S29+T29)*0.22</f>
        <v>0</v>
      </c>
      <c r="V29" s="255">
        <f>H29*0.15</f>
        <v>1197.105</v>
      </c>
      <c r="W29" s="253">
        <f>V29*0.04</f>
        <v>47.8842</v>
      </c>
      <c r="X29" s="260">
        <f>0.22*(W29+V29)</f>
        <v>273.897624</v>
      </c>
      <c r="Y29" s="261">
        <f>SUM(K29:X29)-Q29+BW29</f>
        <v>2519.4750672</v>
      </c>
      <c r="Z29" s="262">
        <f>Y29+H29</f>
        <v>10500.175067200002</v>
      </c>
      <c r="AA29" s="262"/>
      <c r="AB29" s="240"/>
      <c r="AC29" s="240"/>
      <c r="AF29" s="151"/>
      <c r="AG29" s="151"/>
      <c r="AH29" s="241">
        <f>IF($N8="E",$T8,0)</f>
        <v>0</v>
      </c>
      <c r="AI29" s="241">
        <f>IF(OR($F29="E",$F29="E"),$G29,0)</f>
        <v>0</v>
      </c>
      <c r="AJ29" s="241">
        <f>IF(OR($F29="B",$F29="C"),$G29,0)</f>
        <v>0</v>
      </c>
      <c r="AK29" s="241">
        <f>IF($F29="A",$G29,0)</f>
        <v>70</v>
      </c>
      <c r="AL29" s="241">
        <f>IF($N8="A",$F8,0)</f>
        <v>0</v>
      </c>
      <c r="AM29" s="241">
        <f>IF(AND($F29="A",$F8&gt;0),$G29,0)</f>
        <v>0</v>
      </c>
      <c r="AN29" s="241">
        <f>IF($F8&gt;0,$G29,0)</f>
        <v>0</v>
      </c>
      <c r="AQ29" s="242">
        <f>IF($N8="E",$R8/'DATI (2)'!$E$13,0)</f>
        <v>0</v>
      </c>
      <c r="AR29" s="242">
        <f>IF($N8="E",$S8/'DATI (2)'!$E$14,0)</f>
        <v>0</v>
      </c>
      <c r="AS29" s="243">
        <f>($R8)/'DATI (2)'!$E$13</f>
        <v>0</v>
      </c>
      <c r="AT29" s="243">
        <f>$S8/'DATI (2)'!$E$14</f>
        <v>70</v>
      </c>
      <c r="AV29" s="242">
        <f>IF(AND($F29="E",$F8&gt;0),$R8/'DATI (2)'!$E$13,0)</f>
        <v>0</v>
      </c>
      <c r="AW29" s="244">
        <f>IF(AND($F29="E",$F8&gt;0),$Z29,0)</f>
        <v>0</v>
      </c>
      <c r="AX29" s="242">
        <f>IF(AND($F29="E",$F8=0),$R8/'DATI (2)'!$E$13,0)</f>
        <v>0</v>
      </c>
      <c r="AY29" s="244">
        <f>IF(AND($F29="E",$F8=0,R8&gt;0),$Z29*$BT29,0)</f>
        <v>0</v>
      </c>
      <c r="AZ29" s="242">
        <f>IF(AND($F29="E"),$S8/'DATI (2)'!$E$13,0)</f>
        <v>0</v>
      </c>
      <c r="BA29" s="244">
        <f>IF(AND($F29="E",$S8&gt;0),$Z29*$BU29,0)</f>
        <v>0</v>
      </c>
      <c r="BC29" s="242">
        <f>IF(AND(OR($F29="B",$F29="C"),$F8&gt;0),$R8/'DATI (2)'!$E$13,0)</f>
        <v>0</v>
      </c>
      <c r="BD29" s="244">
        <f>IF(AND(AND(OR($F29="B",$F29="C")),$F8&gt;0),$Z29,0)</f>
        <v>0</v>
      </c>
      <c r="BE29" s="242">
        <f>IF(AND(OR($F29="B",$F29="C"),$F8=0),$R8/'DATI (2)'!$E$13,0)</f>
        <v>0</v>
      </c>
      <c r="BF29" s="244">
        <f>IF(AND((OR($F29="B",$F29="C")),$F8=0,R8&gt;0),$Z29*$BT29,0)</f>
        <v>0</v>
      </c>
      <c r="BG29" s="242">
        <f>IF(AND(OR($F29="B",$F29="C")),$S8/'DATI (2)'!$E$13,0)</f>
        <v>0</v>
      </c>
      <c r="BH29" s="244">
        <f>IF(AND((OR($F29="B",$F29="C")),$S8&gt;0),$Z29*$BU29,0)</f>
        <v>0</v>
      </c>
      <c r="BJ29" s="242">
        <f>IF(AND($F29="A",$F8&gt;0),$R8/'DATI (2)'!$E$13,0)</f>
        <v>0</v>
      </c>
      <c r="BK29" s="244">
        <f>IF(AND($F29="a",$F8&gt;0),$Z29,0)</f>
        <v>0</v>
      </c>
      <c r="BL29" s="242">
        <f>IF(AND($F29="A",$F8=0),$R8/'DATI (2)'!$E$13,0)</f>
        <v>0</v>
      </c>
      <c r="BM29" s="244">
        <f>IF(AND($F29="a",$F8=0,R8&gt;0),$Z29*$BT29,0)</f>
        <v>0</v>
      </c>
      <c r="BN29" s="242">
        <f>IF(AND($F29="A"),$S8/'DATI (2)'!$E$13,0)</f>
        <v>70</v>
      </c>
      <c r="BO29" s="244">
        <f>IF(AND($F29="a",$S8&gt;0),$Z29*$BU29,0)</f>
        <v>10500.175067200002</v>
      </c>
      <c r="BQ29" s="245">
        <f>Q8</f>
        <v>70</v>
      </c>
      <c r="BR29" s="245">
        <f>R8/'DATI (2)'!$E$13</f>
        <v>0</v>
      </c>
      <c r="BS29" s="245">
        <f>S8/'DATI (2)'!$E$14</f>
        <v>70</v>
      </c>
      <c r="BT29" s="245">
        <f>BR29/BQ29</f>
        <v>0</v>
      </c>
      <c r="BU29" s="245">
        <f>BS29/BQ29</f>
        <v>1</v>
      </c>
      <c r="BW29" s="263">
        <f>IF(F29="E",$Q$41*G29/$AI$41,0)</f>
        <v>0</v>
      </c>
    </row>
    <row r="30" spans="4:75" ht="19.5" customHeight="1">
      <c r="D30" s="246">
        <f>D9</f>
        <v>38</v>
      </c>
      <c r="E30" s="247">
        <f>F9</f>
        <v>0</v>
      </c>
      <c r="F30" s="248" t="str">
        <f>N9</f>
        <v>A</v>
      </c>
      <c r="G30" s="249">
        <f>Q9</f>
        <v>184.6</v>
      </c>
      <c r="H30" s="250">
        <f>AC9</f>
        <v>21046.246</v>
      </c>
      <c r="I30" s="250"/>
      <c r="J30" s="250"/>
      <c r="K30" s="251">
        <f>(H30)*0.1</f>
        <v>2104.6246</v>
      </c>
      <c r="L30" s="251"/>
      <c r="M30" s="252">
        <f>IF($C$5="s",IF(SUM($H$41)&lt;=1000000,SUM(H30)*0.02,SUM(H30)*0.01),0)</f>
        <v>420.92492</v>
      </c>
      <c r="N30" s="252"/>
      <c r="O30" s="253">
        <f>(M30*(0.04))</f>
        <v>16.8369968</v>
      </c>
      <c r="P30" s="254">
        <f>(M30+O30)*0.22</f>
        <v>96.307621696</v>
      </c>
      <c r="Q30" s="255">
        <f>IF(F30="E",G30*12,0)</f>
        <v>0</v>
      </c>
      <c r="R30" s="256">
        <f>BW30*0.22</f>
        <v>0</v>
      </c>
      <c r="S30" s="257">
        <f>IF(F30="E",H30*1.5%,0)</f>
        <v>0</v>
      </c>
      <c r="T30" s="258">
        <f>S30*0.02</f>
        <v>0</v>
      </c>
      <c r="U30" s="259">
        <f>(S30+T30)*0.22</f>
        <v>0</v>
      </c>
      <c r="V30" s="255">
        <f>H30*0.15</f>
        <v>3156.9368999999997</v>
      </c>
      <c r="W30" s="253">
        <f>V30*0.04</f>
        <v>126.277476</v>
      </c>
      <c r="X30" s="260">
        <f>0.22*(W30+V30)</f>
        <v>722.30716272</v>
      </c>
      <c r="Y30" s="261">
        <f>SUM(K30:X30)-Q30+BW30</f>
        <v>6644.215677216</v>
      </c>
      <c r="Z30" s="262">
        <f>Y30+H30</f>
        <v>27690.461677216</v>
      </c>
      <c r="AA30" s="262"/>
      <c r="AB30" s="240"/>
      <c r="AC30" s="240"/>
      <c r="AF30" s="151"/>
      <c r="AG30" s="151"/>
      <c r="AH30" s="241">
        <f>IF($N9="E",$T9,0)</f>
        <v>0</v>
      </c>
      <c r="AI30" s="241">
        <f>IF(OR($F30="E",$F30="E"),$G30,0)</f>
        <v>0</v>
      </c>
      <c r="AJ30" s="241">
        <f>IF(OR($F30="B",$F30="C"),$G30,0)</f>
        <v>0</v>
      </c>
      <c r="AK30" s="241">
        <f>IF($F30="A",$G30,0)</f>
        <v>184.6</v>
      </c>
      <c r="AL30" s="241">
        <f>IF($N9="A",$F9,0)</f>
        <v>0</v>
      </c>
      <c r="AM30" s="241">
        <f>IF(AND($F30="A",$F9&gt;0),$G30,0)</f>
        <v>0</v>
      </c>
      <c r="AN30" s="241">
        <f>IF($F9&gt;0,$G30,0)</f>
        <v>0</v>
      </c>
      <c r="AQ30" s="242">
        <f>IF($N9="E",$R9/'DATI (2)'!$E$13,0)</f>
        <v>0</v>
      </c>
      <c r="AR30" s="242">
        <f>IF($N9="E",$S9/'DATI (2)'!$E$14,0)</f>
        <v>0</v>
      </c>
      <c r="AS30" s="243">
        <f>($R9)/'DATI (2)'!$E$13</f>
        <v>184.6</v>
      </c>
      <c r="AT30" s="243">
        <f>$S9/'DATI (2)'!$E$14</f>
        <v>0</v>
      </c>
      <c r="AV30" s="242">
        <f>IF(AND($F30="E",$F9&gt;0),$R9/'DATI (2)'!$E$13,0)</f>
        <v>0</v>
      </c>
      <c r="AW30" s="244">
        <f>IF(AND($F30="E",$F9&gt;0),$Z30,0)</f>
        <v>0</v>
      </c>
      <c r="AX30" s="242">
        <f>IF(AND($F30="E",$F9=0),$R9/'DATI (2)'!$E$13,0)</f>
        <v>0</v>
      </c>
      <c r="AY30" s="244">
        <f>IF(AND($F30="E",$F9=0,R9&gt;0),$Z30*$BT30,0)</f>
        <v>0</v>
      </c>
      <c r="AZ30" s="242">
        <f>IF(AND($F30="E"),$S9/'DATI (2)'!$E$13,0)</f>
        <v>0</v>
      </c>
      <c r="BA30" s="244">
        <f>IF(AND($F30="E",$S9&gt;0),$Z30*$BU30,0)</f>
        <v>0</v>
      </c>
      <c r="BC30" s="242">
        <f>IF(AND(OR($F30="B",$F30="C"),$F9&gt;0),$R9/'DATI (2)'!$E$13,0)</f>
        <v>0</v>
      </c>
      <c r="BD30" s="244">
        <f>IF(AND(AND(OR($F30="B",$F30="C")),$F9&gt;0),$Z30,0)</f>
        <v>0</v>
      </c>
      <c r="BE30" s="242">
        <f>IF(AND(OR($F30="B",$F30="C"),$F9=0),$R9/'DATI (2)'!$E$13,0)</f>
        <v>0</v>
      </c>
      <c r="BF30" s="244">
        <f>IF(AND((OR($F30="B",$F30="C")),$F9=0,R9&gt;0),$Z30*$BT30,0)</f>
        <v>0</v>
      </c>
      <c r="BG30" s="242">
        <f>IF(AND(OR($F30="B",$F30="C")),$S9/'DATI (2)'!$E$13,0)</f>
        <v>0</v>
      </c>
      <c r="BH30" s="244">
        <f>IF(AND((OR($F30="B",$F30="C")),$S9&gt;0),$Z30*$BU30,0)</f>
        <v>0</v>
      </c>
      <c r="BJ30" s="242">
        <f>IF(AND($F30="A",$F9&gt;0),$R9/'DATI (2)'!$E$13,0)</f>
        <v>0</v>
      </c>
      <c r="BK30" s="244">
        <f>IF(AND($F30="a",$F9&gt;0),$Z30*BT30,0)</f>
        <v>0</v>
      </c>
      <c r="BL30" s="242">
        <f>IF(AND($F30="A",$F9=0),$R9/'DATI (2)'!$E$13,0)</f>
        <v>184.6</v>
      </c>
      <c r="BM30" s="244">
        <f>IF(AND($F30="a",$F9=0,R9&gt;0),$Z30*$BT30,0)</f>
        <v>27690.461677216</v>
      </c>
      <c r="BN30" s="242">
        <f>IF(AND($F30="A"),$S9/'DATI (2)'!$E$13,0)</f>
        <v>0</v>
      </c>
      <c r="BO30" s="244">
        <f>IF(AND($F30="a",$S9&gt;0),$Z30*$BU30,0)</f>
        <v>0</v>
      </c>
      <c r="BQ30" s="245">
        <f>Q9</f>
        <v>184.6</v>
      </c>
      <c r="BR30" s="245">
        <f>R9/'DATI (2)'!$E$13</f>
        <v>184.6</v>
      </c>
      <c r="BS30" s="245">
        <f>S9/'DATI (2)'!$E$14</f>
        <v>0</v>
      </c>
      <c r="BT30" s="245">
        <f>BR30/BQ30</f>
        <v>1</v>
      </c>
      <c r="BU30" s="245">
        <f>BS30/BQ30</f>
        <v>0</v>
      </c>
      <c r="BW30" s="263">
        <f>IF(F30="E",$Q$41*G30/$AI$41,0)</f>
        <v>0</v>
      </c>
    </row>
    <row r="31" spans="4:75" ht="19.5" customHeight="1">
      <c r="D31" s="246">
        <f>D10</f>
        <v>0</v>
      </c>
      <c r="E31" s="247">
        <f>F10</f>
        <v>0</v>
      </c>
      <c r="F31" s="248">
        <f>N10</f>
        <v>0</v>
      </c>
      <c r="G31" s="249">
        <f>Q10</f>
        <v>0</v>
      </c>
      <c r="H31" s="250">
        <f>AC10</f>
        <v>0</v>
      </c>
      <c r="I31" s="250"/>
      <c r="J31" s="250"/>
      <c r="K31" s="251">
        <f>(H31)*0.1</f>
        <v>0</v>
      </c>
      <c r="L31" s="251"/>
      <c r="M31" s="252">
        <f>IF($C$5="s",IF(SUM($H$41)&lt;=1000000,SUM(H31)*0.02,SUM(H31)*0.01),0)</f>
        <v>0</v>
      </c>
      <c r="N31" s="252"/>
      <c r="O31" s="253">
        <f>(M31*(0.04))</f>
        <v>0</v>
      </c>
      <c r="P31" s="254">
        <f>(M31+O31)*0.22</f>
        <v>0</v>
      </c>
      <c r="Q31" s="255">
        <f>IF(F31="E",G31*12,0)</f>
        <v>0</v>
      </c>
      <c r="R31" s="256">
        <f>BW31*0.22</f>
        <v>0</v>
      </c>
      <c r="S31" s="257">
        <f>IF(F31="E",H31*1.5%,0)</f>
        <v>0</v>
      </c>
      <c r="T31" s="258">
        <f>S31*0.02</f>
        <v>0</v>
      </c>
      <c r="U31" s="259">
        <f>(S31+T31)*0.22</f>
        <v>0</v>
      </c>
      <c r="V31" s="255">
        <f>H31*0.15</f>
        <v>0</v>
      </c>
      <c r="W31" s="253">
        <f>V31*0.04</f>
        <v>0</v>
      </c>
      <c r="X31" s="260">
        <f>0.22*(W31+V31)</f>
        <v>0</v>
      </c>
      <c r="Y31" s="261">
        <f>SUM(K31:X31)-Q31+BW31</f>
        <v>0</v>
      </c>
      <c r="Z31" s="262">
        <f>Y31+H31</f>
        <v>0</v>
      </c>
      <c r="AA31" s="262"/>
      <c r="AB31" s="240"/>
      <c r="AC31" s="240"/>
      <c r="AF31" s="151"/>
      <c r="AG31" s="151"/>
      <c r="AH31" s="241">
        <f>IF($N10="E",$T10,0)</f>
        <v>0</v>
      </c>
      <c r="AI31" s="241">
        <f>IF(OR($F31="E",$F31="E"),$G31,0)</f>
        <v>0</v>
      </c>
      <c r="AJ31" s="241">
        <f>IF(OR($F31="B",$F31="C"),$G31,0)</f>
        <v>0</v>
      </c>
      <c r="AK31" s="241">
        <f>IF($F31="A",$G31,0)</f>
        <v>0</v>
      </c>
      <c r="AL31" s="241">
        <f>IF($N10="A",$F10,0)</f>
        <v>0</v>
      </c>
      <c r="AM31" s="241">
        <f>IF(AND($F31="A",$F10&gt;0),$G31,0)</f>
        <v>0</v>
      </c>
      <c r="AN31" s="241">
        <f>IF($F10&gt;0,$G31,0)</f>
        <v>0</v>
      </c>
      <c r="AQ31" s="242">
        <f>IF($N10="E",$R10/'DATI (2)'!$E$13,0)</f>
        <v>0</v>
      </c>
      <c r="AR31" s="242">
        <f>IF($N10="E",$S10/'DATI (2)'!$E$14,0)</f>
        <v>0</v>
      </c>
      <c r="AS31" s="243">
        <f>($R10)/'DATI (2)'!$E$13</f>
        <v>0</v>
      </c>
      <c r="AT31" s="243">
        <f>$S10/'DATI (2)'!$E$14</f>
        <v>0</v>
      </c>
      <c r="AV31" s="242">
        <f>IF(AND($F31="E",$F10&gt;0),$R10/'DATI (2)'!$E$13,0)</f>
        <v>0</v>
      </c>
      <c r="AW31" s="244">
        <f>IF(AND($F31="E",$F10&gt;0),$Z31,0)</f>
        <v>0</v>
      </c>
      <c r="AX31" s="242">
        <f>IF(AND($F31="E",$F10=0),$R10/'DATI (2)'!$E$13,0)</f>
        <v>0</v>
      </c>
      <c r="AY31" s="244">
        <f>IF(AND($F31="E",$F10=0,R10&gt;0),$Z31*$BT31,0)</f>
        <v>0</v>
      </c>
      <c r="AZ31" s="242">
        <f>IF(AND($F31="E"),$S10/'DATI (2)'!$E$13,0)</f>
        <v>0</v>
      </c>
      <c r="BA31" s="244">
        <f>IF(AND($F31="E",$S10&gt;0),$Z31*$BU31,0)</f>
        <v>0</v>
      </c>
      <c r="BB31" s="264"/>
      <c r="BC31" s="242">
        <f>IF(AND(OR($F31="B",$F31="C"),$F10&gt;0),$R10/'DATI (2)'!$E$13,0)</f>
        <v>0</v>
      </c>
      <c r="BD31" s="244">
        <f>IF(AND(AND(OR($F31="B",$F31="C")),$F10&gt;0),$Z31,0)</f>
        <v>0</v>
      </c>
      <c r="BE31" s="242">
        <f>IF(AND(OR($F31="B",$F31="C"),$F10=0),$R10/'DATI (2)'!$E$13,0)</f>
        <v>0</v>
      </c>
      <c r="BF31" s="244">
        <f>IF(AND((OR($F31="B",$F31="C")),$F10=0,R10&gt;0),$Z31*$BT31,0)</f>
        <v>0</v>
      </c>
      <c r="BG31" s="242">
        <f>IF(AND(OR($F31="B",$F31="C")),$S10/'DATI (2)'!$E$13,0)</f>
        <v>0</v>
      </c>
      <c r="BH31" s="244">
        <f>IF(AND((OR($F31="B",$F31="C")),$S10&gt;0),$Z31*$BU31,0)</f>
        <v>0</v>
      </c>
      <c r="BJ31" s="242">
        <f>IF(AND($F31="A",$F10&gt;0),$R10/'DATI (2)'!$E$13,0)</f>
        <v>0</v>
      </c>
      <c r="BK31" s="244">
        <f>IF(AND($F31="a",$F10&gt;0),$Z31,0)</f>
        <v>0</v>
      </c>
      <c r="BL31" s="242">
        <f>IF(AND($F31="A",$F10=0),$R10/'DATI (2)'!$E$13,0)</f>
        <v>0</v>
      </c>
      <c r="BM31" s="244">
        <f>IF(AND($F31="a",$F10=0,R10&gt;0),$Z31*$BT31,0)</f>
        <v>0</v>
      </c>
      <c r="BN31" s="242">
        <f>IF(AND($F31="A"),$S10/'DATI (2)'!$E$13,0)</f>
        <v>0</v>
      </c>
      <c r="BO31" s="244">
        <f>IF(AND($F31="a",$S10&gt;0),$Z31*$BU31,0)</f>
        <v>0</v>
      </c>
      <c r="BQ31" s="245">
        <f>Q10</f>
        <v>0</v>
      </c>
      <c r="BR31" s="245">
        <f>R10/'DATI (2)'!$E$13</f>
        <v>0</v>
      </c>
      <c r="BS31" s="245">
        <f>S10/'DATI (2)'!$E$14</f>
        <v>0</v>
      </c>
      <c r="BT31" s="245" t="e">
        <f>BR31/BQ31</f>
        <v>#DIV/0!</v>
      </c>
      <c r="BU31" s="245" t="e">
        <f>BS31/BQ31</f>
        <v>#DIV/0!</v>
      </c>
      <c r="BW31" s="263">
        <f>IF(F31="E",$Q$41*G31/$AI$41,0)</f>
        <v>0</v>
      </c>
    </row>
    <row r="32" spans="4:75" ht="19.5" customHeight="1">
      <c r="D32" s="246">
        <f>D11</f>
        <v>0</v>
      </c>
      <c r="E32" s="247">
        <f>F11</f>
        <v>0</v>
      </c>
      <c r="F32" s="248">
        <f>N11</f>
        <v>0</v>
      </c>
      <c r="G32" s="249">
        <f>Q11</f>
        <v>0</v>
      </c>
      <c r="H32" s="250">
        <f>AC11</f>
        <v>0</v>
      </c>
      <c r="I32" s="250"/>
      <c r="J32" s="250"/>
      <c r="K32" s="251">
        <f>(H32)*0.1</f>
        <v>0</v>
      </c>
      <c r="L32" s="251"/>
      <c r="M32" s="252">
        <f>IF($C$5="s",IF(SUM($H$41)&lt;=1000000,SUM(H32)*0.02,SUM(H32)*0.01),0)</f>
        <v>0</v>
      </c>
      <c r="N32" s="252"/>
      <c r="O32" s="253">
        <f>(M32*(0.04))</f>
        <v>0</v>
      </c>
      <c r="P32" s="254">
        <f>(M32+O32)*0.22</f>
        <v>0</v>
      </c>
      <c r="Q32" s="255">
        <f>IF(F32="E",G32*12,0)</f>
        <v>0</v>
      </c>
      <c r="R32" s="256">
        <f>BW32*0.22</f>
        <v>0</v>
      </c>
      <c r="S32" s="257">
        <f>IF(F32="E",H32*1.5%,0)</f>
        <v>0</v>
      </c>
      <c r="T32" s="258">
        <f>S32*0.02</f>
        <v>0</v>
      </c>
      <c r="U32" s="259">
        <f>(S32+T32)*0.22</f>
        <v>0</v>
      </c>
      <c r="V32" s="255">
        <f>H32*0.15</f>
        <v>0</v>
      </c>
      <c r="W32" s="253">
        <f>V32*0.04</f>
        <v>0</v>
      </c>
      <c r="X32" s="260">
        <f>0.22*(W32+V32)</f>
        <v>0</v>
      </c>
      <c r="Y32" s="261">
        <f>SUM(K32:X32)-Q32+BW32</f>
        <v>0</v>
      </c>
      <c r="Z32" s="262">
        <f>Y32+H32</f>
        <v>0</v>
      </c>
      <c r="AA32" s="262"/>
      <c r="AB32" s="240"/>
      <c r="AC32" s="240"/>
      <c r="AF32" s="151"/>
      <c r="AG32" s="151"/>
      <c r="AH32" s="241">
        <f>IF($N11="E",$T11,0)</f>
        <v>0</v>
      </c>
      <c r="AI32" s="241">
        <f>IF(OR($F32="E",$F32="E"),$G32,0)</f>
        <v>0</v>
      </c>
      <c r="AJ32" s="241">
        <f>IF(OR($F32="B",$F32="C"),$G32,0)</f>
        <v>0</v>
      </c>
      <c r="AK32" s="241">
        <f>IF($F32="A",$G32,0)</f>
        <v>0</v>
      </c>
      <c r="AL32" s="241">
        <f>IF($N11="A",$F11,0)</f>
        <v>0</v>
      </c>
      <c r="AM32" s="241">
        <f>IF(AND($F32="A",$F11&gt;0),$G32,0)</f>
        <v>0</v>
      </c>
      <c r="AN32" s="241">
        <f>IF($F11&gt;0,$G32,0)</f>
        <v>0</v>
      </c>
      <c r="AQ32" s="242">
        <f>IF($N11="E",$R11/'DATI (2)'!$E$13,0)</f>
        <v>0</v>
      </c>
      <c r="AR32" s="242">
        <f>IF($N11="E",$S11/'DATI (2)'!$E$14,0)</f>
        <v>0</v>
      </c>
      <c r="AS32" s="243">
        <f>($R11)/'DATI (2)'!$E$13</f>
        <v>0</v>
      </c>
      <c r="AT32" s="243">
        <f>$S11/'DATI (2)'!$E$14</f>
        <v>0</v>
      </c>
      <c r="AV32" s="242">
        <f>IF(AND($F32="E",$F11&gt;0),$R11/'DATI (2)'!$E$13,0)</f>
        <v>0</v>
      </c>
      <c r="AW32" s="244">
        <f>IF(AND($F32="E",$F11&gt;0),$Z32,0)</f>
        <v>0</v>
      </c>
      <c r="AX32" s="242">
        <f>IF(AND($F32="E",$F11=0),$R11/'DATI (2)'!$E$13,0)</f>
        <v>0</v>
      </c>
      <c r="AY32" s="244">
        <f>IF(AND($F32="E",$F11=0,R11&gt;0),$Z32*$BT32,0)</f>
        <v>0</v>
      </c>
      <c r="AZ32" s="242">
        <f>IF(AND($F32="E"),$S11/'DATI (2)'!$E$13,0)</f>
        <v>0</v>
      </c>
      <c r="BA32" s="244">
        <f>IF(AND($F32="E",$S11&gt;0),$Z32*$BU32,0)</f>
        <v>0</v>
      </c>
      <c r="BC32" s="242">
        <f>IF(AND(OR($F32="B",$F32="C"),$F11&gt;0),$R11/'DATI (2)'!$E$13,0)</f>
        <v>0</v>
      </c>
      <c r="BD32" s="244">
        <f>IF(AND(AND(OR($F32="B",$F32="C")),$F11&gt;0),$Z32,0)</f>
        <v>0</v>
      </c>
      <c r="BE32" s="242">
        <f>IF(AND(OR($F32="B",$F32="C"),$F11=0),$R11/'DATI (2)'!$E$13,0)</f>
        <v>0</v>
      </c>
      <c r="BF32" s="244">
        <f>IF(AND((OR($F32="B",$F32="C")),$F11=0,R11&gt;0),$Z32*$BT32,0)</f>
        <v>0</v>
      </c>
      <c r="BG32" s="242">
        <f>IF(AND(OR($F32="B",$F32="C")),$S11/'DATI (2)'!$E$13,0)</f>
        <v>0</v>
      </c>
      <c r="BH32" s="244">
        <f>IF(AND((OR($F32="B",$F32="C")),$S11&gt;0),$Z32*$BU32,0)</f>
        <v>0</v>
      </c>
      <c r="BJ32" s="242">
        <f>IF(AND($F32="A",$F11&gt;0),$R11/'DATI (2)'!$E$13,0)</f>
        <v>0</v>
      </c>
      <c r="BK32" s="244">
        <f>IF(AND($F32="a",$F11&gt;0),$Z32,0)</f>
        <v>0</v>
      </c>
      <c r="BL32" s="242">
        <f>IF(AND($F32="A",$F11=0),$R11/'DATI (2)'!$E$13,0)</f>
        <v>0</v>
      </c>
      <c r="BM32" s="244">
        <f>IF(AND($F32="a",$F11=0,R11&gt;0),$Z32*$BT32,0)</f>
        <v>0</v>
      </c>
      <c r="BN32" s="242">
        <f>IF(AND($F32="A"),$S11/'DATI (2)'!$E$13,0)</f>
        <v>0</v>
      </c>
      <c r="BO32" s="244">
        <f>IF(AND($F32="a",$S11&gt;0),$Z32*$BU32,0)</f>
        <v>0</v>
      </c>
      <c r="BQ32" s="245">
        <f>Q11</f>
        <v>0</v>
      </c>
      <c r="BR32" s="245">
        <f>R11/'DATI (2)'!$E$13</f>
        <v>0</v>
      </c>
      <c r="BS32" s="245">
        <f>S11/'DATI (2)'!$E$14</f>
        <v>0</v>
      </c>
      <c r="BT32" s="245" t="e">
        <f>BR32/BQ32</f>
        <v>#DIV/0!</v>
      </c>
      <c r="BU32" s="245" t="e">
        <f>BS32/BQ32</f>
        <v>#DIV/0!</v>
      </c>
      <c r="BW32" s="68">
        <f>IF(F32="E",$Q$41*G32/$AI$41,0)</f>
        <v>0</v>
      </c>
    </row>
    <row r="33" spans="4:75" ht="19.5" customHeight="1">
      <c r="D33" s="246">
        <f>D12</f>
        <v>0</v>
      </c>
      <c r="E33" s="247">
        <f>F12</f>
        <v>0</v>
      </c>
      <c r="F33" s="248">
        <f>N12</f>
        <v>0</v>
      </c>
      <c r="G33" s="249">
        <f>Q12</f>
        <v>0</v>
      </c>
      <c r="H33" s="250">
        <f>AC12</f>
        <v>0</v>
      </c>
      <c r="I33" s="250"/>
      <c r="J33" s="250"/>
      <c r="K33" s="251">
        <f>(H33)*0.1</f>
        <v>0</v>
      </c>
      <c r="L33" s="251"/>
      <c r="M33" s="252">
        <f>IF($C$5="s",IF(SUM($H$41)&lt;=1000000,SUM(H33)*0.02,SUM(H33)*0.01),0)</f>
        <v>0</v>
      </c>
      <c r="N33" s="252"/>
      <c r="O33" s="253">
        <f>(M33*(0.04))</f>
        <v>0</v>
      </c>
      <c r="P33" s="254">
        <f>(M33+O33)*0.22</f>
        <v>0</v>
      </c>
      <c r="Q33" s="255">
        <f>IF(F33="E",G33*12,0)</f>
        <v>0</v>
      </c>
      <c r="R33" s="256">
        <f>BW33*0.22</f>
        <v>0</v>
      </c>
      <c r="S33" s="257">
        <f>IF(F33="E",H33*1.5%,0)</f>
        <v>0</v>
      </c>
      <c r="T33" s="258">
        <f>S33*0.02</f>
        <v>0</v>
      </c>
      <c r="U33" s="259">
        <f>(S33+T33)*0.22</f>
        <v>0</v>
      </c>
      <c r="V33" s="255">
        <f>H33*0.15</f>
        <v>0</v>
      </c>
      <c r="W33" s="253">
        <f>V33*0.04</f>
        <v>0</v>
      </c>
      <c r="X33" s="260">
        <f>0.22*(W33+V33)</f>
        <v>0</v>
      </c>
      <c r="Y33" s="261">
        <f>SUM(K33:X33)-Q33+BW33</f>
        <v>0</v>
      </c>
      <c r="Z33" s="262">
        <f>Y33+H33</f>
        <v>0</v>
      </c>
      <c r="AA33" s="262"/>
      <c r="AB33" s="240"/>
      <c r="AC33" s="240"/>
      <c r="AF33" s="151"/>
      <c r="AG33" s="151"/>
      <c r="AH33" s="241">
        <f>IF($N12="E",$T12,0)</f>
        <v>0</v>
      </c>
      <c r="AI33" s="241">
        <f>IF(OR($F33="E",$F33="E"),$G33,0)</f>
        <v>0</v>
      </c>
      <c r="AJ33" s="241">
        <f>IF(OR($F33="B",$F33="C"),$G33,0)</f>
        <v>0</v>
      </c>
      <c r="AK33" s="241">
        <f>IF($F33="A",$G33,0)</f>
        <v>0</v>
      </c>
      <c r="AL33" s="241">
        <f>IF($N12="A",$F12,0)</f>
        <v>0</v>
      </c>
      <c r="AM33" s="241">
        <f>IF(AND($F33="A",$F12&gt;0),$G33,0)</f>
        <v>0</v>
      </c>
      <c r="AN33" s="241">
        <f>IF($F12&gt;0,$G33,0)</f>
        <v>0</v>
      </c>
      <c r="AQ33" s="242">
        <f>IF($N12="E",$R12/'DATI (2)'!$E$13,0)</f>
        <v>0</v>
      </c>
      <c r="AR33" s="242">
        <f>IF($N12="E",$S12/'DATI (2)'!$E$14,0)</f>
        <v>0</v>
      </c>
      <c r="AS33" s="243">
        <f>($R12)/'DATI (2)'!$E$13</f>
        <v>0</v>
      </c>
      <c r="AT33" s="243">
        <f>$S12/'DATI (2)'!$E$14</f>
        <v>0</v>
      </c>
      <c r="AV33" s="242">
        <f>IF(AND($F33="E",$F12&gt;0),$R12/'DATI (2)'!$E$13,0)</f>
        <v>0</v>
      </c>
      <c r="AW33" s="244">
        <f>IF(AND($F33="E",$F12&gt;0),$Z33,0)</f>
        <v>0</v>
      </c>
      <c r="AX33" s="242">
        <f>IF(AND($F33="E",$F12=0),$R12/'DATI (2)'!$E$13,0)</f>
        <v>0</v>
      </c>
      <c r="AY33" s="244">
        <f>IF(AND($F33="E",$F12=0,R12&gt;0),$Z33*$BT33,0)</f>
        <v>0</v>
      </c>
      <c r="AZ33" s="242">
        <f>IF(AND($F33="E"),$S12/'DATI (2)'!$E$13,0)</f>
        <v>0</v>
      </c>
      <c r="BA33" s="244">
        <f>IF(AND($F33="E",$S12&gt;0),$Z33*$BU33,0)</f>
        <v>0</v>
      </c>
      <c r="BC33" s="242">
        <f>IF(AND(OR($F33="B",$F33="C"),$F12&gt;0),$R12/'DATI (2)'!$E$13,0)</f>
        <v>0</v>
      </c>
      <c r="BD33" s="244">
        <f>IF(AND(AND(OR($F33="B",$F33="C")),$F12&gt;0),$Z33,0)</f>
        <v>0</v>
      </c>
      <c r="BE33" s="242">
        <f>IF(AND(OR($F33="B",$F33="C"),$F12=0),$R12/'DATI (2)'!$E$13,0)</f>
        <v>0</v>
      </c>
      <c r="BF33" s="244">
        <f>IF(AND((OR($F33="B",$F33="C")),$F12=0,R12&gt;0),$Z33*$BT33,0)</f>
        <v>0</v>
      </c>
      <c r="BG33" s="242">
        <f>IF(AND(OR($F33="B",$F33="C")),$S12/'DATI (2)'!$E$13,0)</f>
        <v>0</v>
      </c>
      <c r="BH33" s="244">
        <f>IF(AND((OR($F33="B",$F33="C")),$S12&gt;0),$Z33*$BU33,0)</f>
        <v>0</v>
      </c>
      <c r="BJ33" s="242">
        <f>IF(AND($F33="A",$F12&gt;0),$R12/'DATI (2)'!$E$13,0)</f>
        <v>0</v>
      </c>
      <c r="BK33" s="244">
        <f>IF(AND($F33="a",$F12&gt;0),$Z33,0)</f>
        <v>0</v>
      </c>
      <c r="BL33" s="242">
        <f>IF(AND($F33="A",$F12=0),$R12/'DATI (2)'!$E$13,0)</f>
        <v>0</v>
      </c>
      <c r="BM33" s="244">
        <f>IF(AND($F33="a",$F12=0,R12&gt;0),$Z33*$BT33,0)</f>
        <v>0</v>
      </c>
      <c r="BN33" s="242">
        <f>IF(AND($F33="A"),$S12/'DATI (2)'!$E$13,0)</f>
        <v>0</v>
      </c>
      <c r="BO33" s="244">
        <f>IF(AND($F33="a",$S12&gt;0),$Z33*$BU33,0)</f>
        <v>0</v>
      </c>
      <c r="BQ33" s="245">
        <f>Q12</f>
        <v>0</v>
      </c>
      <c r="BR33" s="245">
        <f>R12/'DATI (2)'!$E$13</f>
        <v>0</v>
      </c>
      <c r="BS33" s="245">
        <f>S12/'DATI (2)'!$E$14</f>
        <v>0</v>
      </c>
      <c r="BT33" s="245" t="e">
        <f>BR33/BQ33</f>
        <v>#DIV/0!</v>
      </c>
      <c r="BU33" s="245" t="e">
        <f>BS33/BQ33</f>
        <v>#DIV/0!</v>
      </c>
      <c r="BW33" s="68">
        <f>IF(F33="E",$Q$41*G33/$AI$41,0)</f>
        <v>0</v>
      </c>
    </row>
    <row r="34" spans="4:75" ht="19.5" customHeight="1">
      <c r="D34" s="246">
        <f>D13</f>
        <v>0</v>
      </c>
      <c r="E34" s="247">
        <f>F13</f>
        <v>0</v>
      </c>
      <c r="F34" s="248">
        <f>N13</f>
        <v>0</v>
      </c>
      <c r="G34" s="249">
        <f>Q13</f>
        <v>0</v>
      </c>
      <c r="H34" s="250">
        <f>AC13</f>
        <v>0</v>
      </c>
      <c r="I34" s="250"/>
      <c r="J34" s="250"/>
      <c r="K34" s="251">
        <f>(H34)*0.1</f>
        <v>0</v>
      </c>
      <c r="L34" s="251"/>
      <c r="M34" s="252">
        <f>IF($C$5="s",IF(SUM($H$41)&lt;=1000000,SUM(H34)*0.02,SUM(H34)*0.01),0)</f>
        <v>0</v>
      </c>
      <c r="N34" s="252"/>
      <c r="O34" s="253">
        <f>(M34*(0.04))</f>
        <v>0</v>
      </c>
      <c r="P34" s="254">
        <f>(M34+O34)*0.22</f>
        <v>0</v>
      </c>
      <c r="Q34" s="255">
        <f>IF(F34="E",G34*12,0)</f>
        <v>0</v>
      </c>
      <c r="R34" s="256">
        <f>BW34*0.22</f>
        <v>0</v>
      </c>
      <c r="S34" s="257"/>
      <c r="T34" s="258"/>
      <c r="U34" s="259">
        <f>(S34+T34)*0.22</f>
        <v>0</v>
      </c>
      <c r="V34" s="255">
        <f>H34*0.15</f>
        <v>0</v>
      </c>
      <c r="W34" s="253">
        <f>V34*0.04</f>
        <v>0</v>
      </c>
      <c r="X34" s="260">
        <f>0.22*(W34+V34)</f>
        <v>0</v>
      </c>
      <c r="Y34" s="261">
        <f>SUM(K34:X34)-Q34+BW34</f>
        <v>0</v>
      </c>
      <c r="Z34" s="262">
        <f>Y34+H34</f>
        <v>0</v>
      </c>
      <c r="AA34" s="262"/>
      <c r="AB34" s="240"/>
      <c r="AC34" s="240"/>
      <c r="AF34" s="151"/>
      <c r="AG34" s="151"/>
      <c r="AH34" s="241">
        <f>IF($N13="E",$T13,0)</f>
        <v>0</v>
      </c>
      <c r="AI34" s="241">
        <f>IF(OR($F34="E",$F34="E"),$G34,0)</f>
        <v>0</v>
      </c>
      <c r="AJ34" s="241">
        <f>IF(OR($F34="B",$F34="C"),$G34,0)</f>
        <v>0</v>
      </c>
      <c r="AK34" s="241">
        <f>IF($F34="A",$G34,0)</f>
        <v>0</v>
      </c>
      <c r="AL34" s="241">
        <f>IF($N13="A",$F13,0)</f>
        <v>0</v>
      </c>
      <c r="AM34" s="241">
        <f>IF(AND($F34="A",$F13&gt;0),$G34,0)</f>
        <v>0</v>
      </c>
      <c r="AN34" s="241">
        <f>IF($F13&gt;0,$G34,0)</f>
        <v>0</v>
      </c>
      <c r="AQ34" s="242">
        <f>IF($N13="E",$R13/'DATI (2)'!$E$13,0)</f>
        <v>0</v>
      </c>
      <c r="AR34" s="242">
        <f>IF($N13="E",$S13/'DATI (2)'!$E$14,0)</f>
        <v>0</v>
      </c>
      <c r="AS34" s="243">
        <f>($R13)/'DATI (2)'!$E$13</f>
        <v>0</v>
      </c>
      <c r="AT34" s="243">
        <f>$S13/'DATI (2)'!$E$14</f>
        <v>0</v>
      </c>
      <c r="AV34" s="242">
        <f>IF(AND($F34="E",$F13&gt;0),$R13/'DATI (2)'!$E$13,0)</f>
        <v>0</v>
      </c>
      <c r="AW34" s="244">
        <f>IF(AND($F34="E",$F13&gt;0),$Z34,0)</f>
        <v>0</v>
      </c>
      <c r="AX34" s="242">
        <f>IF(AND($F34="E",$F13=0),$R13/'DATI (2)'!$E$13,0)</f>
        <v>0</v>
      </c>
      <c r="AY34" s="244">
        <f>IF(AND($F34="E",$F13=0,R13&gt;0),$Z34*$BT34,0)</f>
        <v>0</v>
      </c>
      <c r="AZ34" s="242">
        <f>IF(AND($F34="E"),$S13/'DATI (2)'!$E$13,0)</f>
        <v>0</v>
      </c>
      <c r="BA34" s="244">
        <f>IF(AND($F34="E",$S13&gt;0),$Z34*$BU34,0)</f>
        <v>0</v>
      </c>
      <c r="BC34" s="242">
        <f>IF(AND(OR($F34="B",$F34="C"),$F13&gt;0),$R13/'DATI (2)'!$E$13,0)</f>
        <v>0</v>
      </c>
      <c r="BD34" s="244">
        <f>IF(AND(AND(OR($F34="B",$F34="C")),$F13&gt;0),$Z34,0)</f>
        <v>0</v>
      </c>
      <c r="BE34" s="242">
        <f>IF(AND(OR($F34="B",$F34="C"),$F13=0),$R13/'DATI (2)'!$E$13,0)</f>
        <v>0</v>
      </c>
      <c r="BF34" s="244">
        <f>IF(AND((OR($F34="B",$F34="C")),$F13=0,R13&gt;0),$Z34*$BT34,0)</f>
        <v>0</v>
      </c>
      <c r="BG34" s="242">
        <f>IF(AND(OR($F34="B",$F34="C")),$S13/'DATI (2)'!$E$13,0)</f>
        <v>0</v>
      </c>
      <c r="BH34" s="244">
        <f>IF(AND((OR($F34="B",$F34="C")),$S13&gt;0),$Z34*$BU34,0)</f>
        <v>0</v>
      </c>
      <c r="BJ34" s="242">
        <f>IF(AND($F34="A",$F13&gt;0),$R13/'DATI (2)'!$E$13,0)</f>
        <v>0</v>
      </c>
      <c r="BK34" s="244">
        <f>IF(AND($F34="a",$F13&gt;0),$Z34,0)</f>
        <v>0</v>
      </c>
      <c r="BL34" s="242">
        <f>IF(AND($F34="A",$F13=0),$R13/'DATI (2)'!$E$13,0)</f>
        <v>0</v>
      </c>
      <c r="BM34" s="244">
        <f>IF(AND($F34="a",$F13=0,R13&gt;0),$Z34*$BT34,0)</f>
        <v>0</v>
      </c>
      <c r="BN34" s="242">
        <f>IF(AND($F34="A"),$S13/'DATI (2)'!$E$13,0)</f>
        <v>0</v>
      </c>
      <c r="BO34" s="244">
        <f>IF(AND($F34="a",$S13&gt;0),$Z34*$BU34,0)</f>
        <v>0</v>
      </c>
      <c r="BQ34" s="245">
        <f>Q13</f>
        <v>0</v>
      </c>
      <c r="BR34" s="245">
        <f>R13/'DATI (2)'!$E$13</f>
        <v>0</v>
      </c>
      <c r="BS34" s="245">
        <f>S13/'DATI (2)'!$E$14</f>
        <v>0</v>
      </c>
      <c r="BT34" s="245" t="e">
        <f>BR34/BQ34</f>
        <v>#DIV/0!</v>
      </c>
      <c r="BU34" s="245" t="e">
        <f>BS34/BQ34</f>
        <v>#DIV/0!</v>
      </c>
      <c r="BW34" s="68">
        <f>IF(F34="E",$Q$41*G34/$AI$41,0)</f>
        <v>0</v>
      </c>
    </row>
    <row r="35" spans="4:75" ht="19.5" customHeight="1">
      <c r="D35" s="246">
        <f>D14</f>
        <v>0</v>
      </c>
      <c r="E35" s="247">
        <f>F14</f>
        <v>0</v>
      </c>
      <c r="F35" s="248">
        <f>N14</f>
        <v>0</v>
      </c>
      <c r="G35" s="249">
        <f>Q14</f>
        <v>0</v>
      </c>
      <c r="H35" s="250">
        <f>AC14</f>
        <v>0</v>
      </c>
      <c r="I35" s="250"/>
      <c r="J35" s="250"/>
      <c r="K35" s="251">
        <f>(H35)*0.1</f>
        <v>0</v>
      </c>
      <c r="L35" s="251"/>
      <c r="M35" s="252">
        <f>IF($C$5="s",IF(SUM($H$41)&lt;=1000000,SUM(H35)*0.02,SUM(H35)*0.01),0)</f>
        <v>0</v>
      </c>
      <c r="N35" s="252"/>
      <c r="O35" s="253">
        <f>(M35*(0.04))</f>
        <v>0</v>
      </c>
      <c r="P35" s="254">
        <f>(M35+O35)*0.22</f>
        <v>0</v>
      </c>
      <c r="Q35" s="255">
        <f>IF(F35="E",G35*12,0)</f>
        <v>0</v>
      </c>
      <c r="R35" s="256">
        <f>BW35*0.22</f>
        <v>0</v>
      </c>
      <c r="S35" s="257"/>
      <c r="T35" s="258"/>
      <c r="U35" s="259">
        <f>(S35+T35)*0.22</f>
        <v>0</v>
      </c>
      <c r="V35" s="255">
        <f>H35*0.15</f>
        <v>0</v>
      </c>
      <c r="W35" s="253">
        <f>V35*0.04</f>
        <v>0</v>
      </c>
      <c r="X35" s="260">
        <f>0.22*(W35+V35)</f>
        <v>0</v>
      </c>
      <c r="Y35" s="261">
        <f>SUM(K35:X35)-Q35+BW35</f>
        <v>0</v>
      </c>
      <c r="Z35" s="262">
        <f>Y35+H35</f>
        <v>0</v>
      </c>
      <c r="AA35" s="262"/>
      <c r="AB35" s="240"/>
      <c r="AC35" s="240"/>
      <c r="AF35" s="151"/>
      <c r="AG35" s="151"/>
      <c r="AH35" s="241">
        <f>IF($N14="E",$T14,0)</f>
        <v>0</v>
      </c>
      <c r="AI35" s="241">
        <f>IF(OR($F35="E",$F35="E"),$G35,0)</f>
        <v>0</v>
      </c>
      <c r="AJ35" s="241">
        <f>IF(OR($F35="B",$F35="C"),$G35,0)</f>
        <v>0</v>
      </c>
      <c r="AK35" s="241">
        <f>IF($F35="A",$G35,0)</f>
        <v>0</v>
      </c>
      <c r="AL35" s="241">
        <f>IF($N14="A",$F14,0)</f>
        <v>0</v>
      </c>
      <c r="AM35" s="241">
        <f>IF(AND($F35="A",$F14&gt;0),$G35,0)</f>
        <v>0</v>
      </c>
      <c r="AN35" s="241">
        <f>IF($F14&gt;0,$G35,0)</f>
        <v>0</v>
      </c>
      <c r="AQ35" s="242">
        <f>IF($N14="E",$R14/'DATI (2)'!$E$13,0)</f>
        <v>0</v>
      </c>
      <c r="AR35" s="242">
        <f>IF($N14="E",$S14/'DATI (2)'!$E$14,0)</f>
        <v>0</v>
      </c>
      <c r="AS35" s="243">
        <f>($R14)/'DATI (2)'!$E$13</f>
        <v>0</v>
      </c>
      <c r="AT35" s="243">
        <f>$S14/'DATI (2)'!$E$14</f>
        <v>0</v>
      </c>
      <c r="AV35" s="242">
        <f>IF(AND($F35="E",$F14&gt;0),$R14/'DATI (2)'!$E$13,0)</f>
        <v>0</v>
      </c>
      <c r="AW35" s="244">
        <f>IF(AND($F35="E",$F14&gt;0),$Z35,0)</f>
        <v>0</v>
      </c>
      <c r="AX35" s="242">
        <f>IF(AND($F35="E",$F14=0),$R14/'DATI (2)'!$E$13,0)</f>
        <v>0</v>
      </c>
      <c r="AY35" s="244">
        <f>IF(AND($F35="E",$F14=0,R14&gt;0),$Z35*$BT35,0)</f>
        <v>0</v>
      </c>
      <c r="AZ35" s="242">
        <f>IF(AND($F35="E"),$S14/'DATI (2)'!$E$13,0)</f>
        <v>0</v>
      </c>
      <c r="BA35" s="244">
        <f>IF(AND($F35="E",$S14&gt;0),$Z35*$BU35,0)</f>
        <v>0</v>
      </c>
      <c r="BC35" s="242">
        <f>IF(AND(OR($F35="B",$F35="C"),$F14&gt;0),$R14/'DATI (2)'!$E$13,0)</f>
        <v>0</v>
      </c>
      <c r="BD35" s="244">
        <f>IF(AND(AND(OR($F35="B",$F35="C")),$F14&gt;0),$Z35,0)</f>
        <v>0</v>
      </c>
      <c r="BE35" s="242">
        <f>IF(AND(OR($F35="B",$F35="C"),$F14=0),$R14/'DATI (2)'!$E$13,0)</f>
        <v>0</v>
      </c>
      <c r="BF35" s="244">
        <f>IF(AND((OR($F35="B",$F35="C")),$F14=0,R14&gt;0),$Z35*$BT35,0)</f>
        <v>0</v>
      </c>
      <c r="BG35" s="242">
        <f>IF(AND(OR($F35="B",$F35="C")),$S14/'DATI (2)'!$E$13,0)</f>
        <v>0</v>
      </c>
      <c r="BH35" s="244">
        <f>IF(AND((OR($F35="B",$F35="C")),$S14&gt;0),$Z35*$BU35,0)</f>
        <v>0</v>
      </c>
      <c r="BJ35" s="242">
        <f>IF(AND($F35="A",$F14&gt;0),$R14/'DATI (2)'!$E$13,0)</f>
        <v>0</v>
      </c>
      <c r="BK35" s="244">
        <f>IF(AND($F35="a",$F14&gt;0),$Z35,0)</f>
        <v>0</v>
      </c>
      <c r="BL35" s="242">
        <f>IF(AND($F35="A",$F14=0),$R14/'DATI (2)'!$E$13,0)</f>
        <v>0</v>
      </c>
      <c r="BM35" s="244">
        <f>IF(AND($F35="a",$F14=0,R14&gt;0),$Z35*$BT35,0)</f>
        <v>0</v>
      </c>
      <c r="BN35" s="242">
        <f>IF(AND($F35="A"),$S14/'DATI (2)'!$E$13,0)</f>
        <v>0</v>
      </c>
      <c r="BO35" s="244">
        <f>IF(AND($F35="a",$S14&gt;0),$Z35*$BU35,0)</f>
        <v>0</v>
      </c>
      <c r="BQ35" s="245">
        <f>Q14</f>
        <v>0</v>
      </c>
      <c r="BR35" s="245">
        <f>R14/'DATI (2)'!$E$13</f>
        <v>0</v>
      </c>
      <c r="BS35" s="245">
        <f>S14/'DATI (2)'!$E$14</f>
        <v>0</v>
      </c>
      <c r="BT35" s="245" t="e">
        <f>BR35/BQ35</f>
        <v>#DIV/0!</v>
      </c>
      <c r="BU35" s="245" t="e">
        <f>BS35/BQ35</f>
        <v>#DIV/0!</v>
      </c>
      <c r="BW35" s="68">
        <f>IF(F35="E",$Q$41*G35/$AI$41,0)</f>
        <v>0</v>
      </c>
    </row>
    <row r="36" spans="4:75" ht="19.5" customHeight="1">
      <c r="D36" s="246">
        <f>D15</f>
        <v>0</v>
      </c>
      <c r="E36" s="247">
        <f>F15</f>
        <v>0</v>
      </c>
      <c r="F36" s="248">
        <f>N15</f>
        <v>0</v>
      </c>
      <c r="G36" s="249">
        <f>Q15</f>
        <v>0</v>
      </c>
      <c r="H36" s="250">
        <f>AC15</f>
        <v>0</v>
      </c>
      <c r="I36" s="250"/>
      <c r="J36" s="250"/>
      <c r="K36" s="251">
        <f>(H36)*0.1</f>
        <v>0</v>
      </c>
      <c r="L36" s="251"/>
      <c r="M36" s="252">
        <f>IF($C$5="s",IF(SUM($H$41)&lt;=1000000,SUM(H36)*0.02,SUM(H36)*0.01),0)</f>
        <v>0</v>
      </c>
      <c r="N36" s="252"/>
      <c r="O36" s="253">
        <f>(M36*(0.04))</f>
        <v>0</v>
      </c>
      <c r="P36" s="254">
        <f>(M36+O36)*0.22</f>
        <v>0</v>
      </c>
      <c r="Q36" s="255">
        <f>IF(F36="E",G36*12,0)</f>
        <v>0</v>
      </c>
      <c r="R36" s="256">
        <f>BW36*0.22</f>
        <v>0</v>
      </c>
      <c r="S36" s="257"/>
      <c r="T36" s="258"/>
      <c r="U36" s="259">
        <f>(S36+T36)*0.22</f>
        <v>0</v>
      </c>
      <c r="V36" s="255">
        <f>H36*0.15</f>
        <v>0</v>
      </c>
      <c r="W36" s="253">
        <f>V36*0.04</f>
        <v>0</v>
      </c>
      <c r="X36" s="260">
        <f>0.22*(W36+V36)</f>
        <v>0</v>
      </c>
      <c r="Y36" s="261">
        <f>SUM(K36:X36)-Q36+BW36</f>
        <v>0</v>
      </c>
      <c r="Z36" s="262">
        <f>Y36+H36</f>
        <v>0</v>
      </c>
      <c r="AA36" s="262"/>
      <c r="AB36" s="240"/>
      <c r="AC36" s="240"/>
      <c r="AF36" s="151"/>
      <c r="AG36" s="151"/>
      <c r="AH36" s="241">
        <f>IF($N15="E",$T15,0)</f>
        <v>0</v>
      </c>
      <c r="AI36" s="241">
        <f>IF(OR($F36="E",$F36="E"),$G36,0)</f>
        <v>0</v>
      </c>
      <c r="AJ36" s="241">
        <f>IF(OR($F36="B",$F36="C"),$G36,0)</f>
        <v>0</v>
      </c>
      <c r="AK36" s="241">
        <f>IF($F36="A",$G36,0)</f>
        <v>0</v>
      </c>
      <c r="AL36" s="241">
        <f>IF($N15="A",$F15,0)</f>
        <v>0</v>
      </c>
      <c r="AM36" s="241">
        <f>IF(AND($F36="A",$F15&gt;0),$G36,0)</f>
        <v>0</v>
      </c>
      <c r="AN36" s="241">
        <f>IF($F15&gt;0,$G36,0)</f>
        <v>0</v>
      </c>
      <c r="AQ36" s="242">
        <f>IF($N15="E",$R15/'DATI (2)'!$E$13,0)</f>
        <v>0</v>
      </c>
      <c r="AR36" s="242">
        <f>IF($N15="E",$S15/'DATI (2)'!$E$14,0)</f>
        <v>0</v>
      </c>
      <c r="AS36" s="243">
        <f>($R15)/'DATI (2)'!$E$13</f>
        <v>0</v>
      </c>
      <c r="AT36" s="243">
        <f>$S15/'DATI (2)'!$E$14</f>
        <v>0</v>
      </c>
      <c r="AV36" s="242">
        <f>IF(AND($F36="E",$F15&gt;0),$R15/'DATI (2)'!$E$13,0)</f>
        <v>0</v>
      </c>
      <c r="AW36" s="244">
        <f>IF(AND($F36="E",$F15&gt;0),$Z36,0)</f>
        <v>0</v>
      </c>
      <c r="AX36" s="242">
        <f>IF(AND($F36="E",$F15=0),$R15/'DATI (2)'!$E$13,0)</f>
        <v>0</v>
      </c>
      <c r="AY36" s="244">
        <f>IF(AND($F36="E",$F15=0,R15&gt;0),$Z36*$BT36,0)</f>
        <v>0</v>
      </c>
      <c r="AZ36" s="242">
        <f>IF(AND($F36="E"),$S15/'DATI (2)'!$E$13,0)</f>
        <v>0</v>
      </c>
      <c r="BA36" s="244">
        <f>IF(AND($F36="E",$S15&gt;0),$Z36*$BU36,0)</f>
        <v>0</v>
      </c>
      <c r="BC36" s="242">
        <f>IF(AND(OR($F36="B",$F36="C"),$F15&gt;0),$R15/'DATI (2)'!$E$13,0)</f>
        <v>0</v>
      </c>
      <c r="BD36" s="244">
        <f>IF(AND(AND(OR($F36="B",$F36="C")),$F15&gt;0),$Z36,0)</f>
        <v>0</v>
      </c>
      <c r="BE36" s="242">
        <f>IF(AND(OR($F36="B",$F36="C"),$F15=0),$R15/'DATI (2)'!$E$13,0)</f>
        <v>0</v>
      </c>
      <c r="BF36" s="244">
        <f>IF(AND((OR($F36="B",$F36="C")),$F15=0,R15&gt;0),$Z36*$BT36,0)</f>
        <v>0</v>
      </c>
      <c r="BG36" s="242">
        <f>IF(AND(OR($F36="B",$F36="C")),$S15/'DATI (2)'!$E$13,0)</f>
        <v>0</v>
      </c>
      <c r="BH36" s="244">
        <f>IF(AND((OR($F36="B",$F36="C")),$S15&gt;0),$Z36*$BU36,0)</f>
        <v>0</v>
      </c>
      <c r="BJ36" s="242">
        <f>IF(AND($F36="A",$F15&gt;0),$R15/'DATI (2)'!$E$13,0)</f>
        <v>0</v>
      </c>
      <c r="BK36" s="244">
        <f>IF(AND($F36="a",$F15&gt;0),$Z36,0)</f>
        <v>0</v>
      </c>
      <c r="BL36" s="242">
        <f>IF(AND($F36="A",$F15=0),$R15/'DATI (2)'!$E$13,0)</f>
        <v>0</v>
      </c>
      <c r="BM36" s="244">
        <f>IF(AND($F36="a",$F15=0,R15&gt;0),$Z36*$BT36,0)</f>
        <v>0</v>
      </c>
      <c r="BN36" s="242">
        <f>IF(AND($F36="A"),$S15/'DATI (2)'!$E$13,0)</f>
        <v>0</v>
      </c>
      <c r="BO36" s="244">
        <f>IF(AND($F36="a",$S15&gt;0),$Z36*$BU36,0)</f>
        <v>0</v>
      </c>
      <c r="BQ36" s="245">
        <f>Q15</f>
        <v>0</v>
      </c>
      <c r="BR36" s="245">
        <f>R15/'DATI (2)'!$E$13</f>
        <v>0</v>
      </c>
      <c r="BS36" s="245">
        <f>S15/'DATI (2)'!$E$14</f>
        <v>0</v>
      </c>
      <c r="BT36" s="245" t="e">
        <f>BR36/BQ36</f>
        <v>#DIV/0!</v>
      </c>
      <c r="BU36" s="245" t="e">
        <f>BS36/BQ36</f>
        <v>#DIV/0!</v>
      </c>
      <c r="BW36" s="68">
        <f>IF(F36="E",$Q$41*G36/$AI$41,0)</f>
        <v>0</v>
      </c>
    </row>
    <row r="37" spans="4:75" ht="19.5" customHeight="1">
      <c r="D37" s="246">
        <f>D16</f>
        <v>0</v>
      </c>
      <c r="E37" s="247">
        <f>F16</f>
        <v>0</v>
      </c>
      <c r="F37" s="248">
        <f>N16</f>
        <v>0</v>
      </c>
      <c r="G37" s="249">
        <f>Q16</f>
        <v>0</v>
      </c>
      <c r="H37" s="250">
        <f>AC16</f>
        <v>0</v>
      </c>
      <c r="I37" s="250"/>
      <c r="J37" s="250"/>
      <c r="K37" s="251">
        <f>(H37)*0.1</f>
        <v>0</v>
      </c>
      <c r="L37" s="251"/>
      <c r="M37" s="252">
        <f>IF($C$5="s",IF(SUM($H$41)&lt;=1000000,SUM(H37)*0.02,SUM(H37)*0.01),0)</f>
        <v>0</v>
      </c>
      <c r="N37" s="252"/>
      <c r="O37" s="253">
        <f>(M37*(0.04))</f>
        <v>0</v>
      </c>
      <c r="P37" s="254">
        <f>(M37+O37)*0.22</f>
        <v>0</v>
      </c>
      <c r="Q37" s="255">
        <f>IF(F37="E",G37*12,0)</f>
        <v>0</v>
      </c>
      <c r="R37" s="256">
        <f>BW37*0.22</f>
        <v>0</v>
      </c>
      <c r="S37" s="257">
        <f>IF(F37="E",H37*1.5%,0)</f>
        <v>0</v>
      </c>
      <c r="T37" s="258">
        <f>S37*0.02</f>
        <v>0</v>
      </c>
      <c r="U37" s="259">
        <f>(S37+T37)*0.22</f>
        <v>0</v>
      </c>
      <c r="V37" s="255">
        <f>H37*0.15</f>
        <v>0</v>
      </c>
      <c r="W37" s="253">
        <f>V37*0.04</f>
        <v>0</v>
      </c>
      <c r="X37" s="260">
        <f>0.22*(W37+V37)</f>
        <v>0</v>
      </c>
      <c r="Y37" s="261">
        <f>SUM(K37:X37)-Q37+BW37</f>
        <v>0</v>
      </c>
      <c r="Z37" s="262">
        <f>Y37+H37</f>
        <v>0</v>
      </c>
      <c r="AA37" s="262"/>
      <c r="AB37" s="240"/>
      <c r="AC37" s="240"/>
      <c r="AF37" s="151"/>
      <c r="AG37" s="151"/>
      <c r="AH37" s="241">
        <f>IF($N16="E",$T16,0)</f>
        <v>0</v>
      </c>
      <c r="AI37" s="241">
        <f>IF(OR($F37="E",$F37="E"),$G37,0)</f>
        <v>0</v>
      </c>
      <c r="AJ37" s="241">
        <f>IF(OR($F37="B",$F37="C"),$G37,0)</f>
        <v>0</v>
      </c>
      <c r="AK37" s="241">
        <f>IF($F37="A",$G37,0)</f>
        <v>0</v>
      </c>
      <c r="AL37" s="241">
        <f>IF($N16="A",$F16,0)</f>
        <v>0</v>
      </c>
      <c r="AM37" s="241">
        <f>IF(AND($F37="A",$F16&gt;0),$G37,0)</f>
        <v>0</v>
      </c>
      <c r="AN37" s="241">
        <f>IF($F16&gt;0,$G37,0)</f>
        <v>0</v>
      </c>
      <c r="AQ37" s="242">
        <f>IF($N16="E",$R16/'DATI (2)'!$E$13,0)</f>
        <v>0</v>
      </c>
      <c r="AR37" s="242">
        <f>IF($N16="E",$S16/'DATI (2)'!$E$14,0)</f>
        <v>0</v>
      </c>
      <c r="AS37" s="243">
        <f>($R16)/'DATI (2)'!$E$13</f>
        <v>0</v>
      </c>
      <c r="AT37" s="243">
        <f>$S16/'DATI (2)'!$E$14</f>
        <v>0</v>
      </c>
      <c r="AV37" s="242">
        <f>IF(AND($F37="E",$F16&gt;0),$R16/'DATI (2)'!$E$13,0)</f>
        <v>0</v>
      </c>
      <c r="AW37" s="244">
        <f>IF(AND($F37="E",$F16&gt;0),$Z37,0)</f>
        <v>0</v>
      </c>
      <c r="AX37" s="242">
        <f>IF(AND($F37="E",$F16=0),$R16/'DATI (2)'!$E$13,0)</f>
        <v>0</v>
      </c>
      <c r="AY37" s="244">
        <f>IF(AND($F37="E",$F16=0,R16&gt;0),$Z37*$BT37,0)</f>
        <v>0</v>
      </c>
      <c r="AZ37" s="242">
        <f>IF(AND($F37="E"),$S16/'DATI (2)'!$E$13,0)</f>
        <v>0</v>
      </c>
      <c r="BA37" s="244">
        <f>IF(AND($F37="E",$S16&gt;0),$Z37*$BU37,0)</f>
        <v>0</v>
      </c>
      <c r="BC37" s="242">
        <f>IF(AND(OR($F37="B",$F37="C"),$F16&gt;0),$R16/'DATI (2)'!$E$13,0)</f>
        <v>0</v>
      </c>
      <c r="BD37" s="244">
        <f>IF(AND(AND(OR($F37="B",$F37="C")),$F16&gt;0),$Z37,0)</f>
        <v>0</v>
      </c>
      <c r="BE37" s="242">
        <f>IF(AND(OR($F37="B",$F37="C"),$F16=0),$R16/'DATI (2)'!$E$13,0)</f>
        <v>0</v>
      </c>
      <c r="BF37" s="244">
        <f>IF(AND((OR($F37="B",$F37="C")),$F16=0,R16&gt;0),$Z37*$BT37,0)</f>
        <v>0</v>
      </c>
      <c r="BG37" s="242">
        <f>IF(AND(OR($F37="B",$F37="C")),$S16/'DATI (2)'!$E$13,0)</f>
        <v>0</v>
      </c>
      <c r="BH37" s="244">
        <f>IF(AND((OR($F37="B",$F37="C")),$S16&gt;0),$Z37*$BU37,0)</f>
        <v>0</v>
      </c>
      <c r="BJ37" s="242">
        <f>IF(AND($F37="A",$F16&gt;0),$R16/'DATI (2)'!$E$13,0)</f>
        <v>0</v>
      </c>
      <c r="BK37" s="244">
        <f>IF(AND($F37="a",$F16&gt;0),$Z37,0)</f>
        <v>0</v>
      </c>
      <c r="BL37" s="242">
        <f>IF(AND($F37="A",$F16=0),$R16/'DATI (2)'!$E$13,0)</f>
        <v>0</v>
      </c>
      <c r="BM37" s="244">
        <f>IF(AND($F37="a",$F16=0,R16&gt;0),$Z37*$BT37,0)</f>
        <v>0</v>
      </c>
      <c r="BN37" s="242">
        <f>IF(AND($F37="A"),$S16/'DATI (2)'!$E$13,0)</f>
        <v>0</v>
      </c>
      <c r="BO37" s="244">
        <f>IF(AND($F37="a",$S16&gt;0),$Z37*$BU37,0)</f>
        <v>0</v>
      </c>
      <c r="BQ37" s="245">
        <f>Q16</f>
        <v>0</v>
      </c>
      <c r="BR37" s="245">
        <f>R16/'DATI (2)'!$E$13</f>
        <v>0</v>
      </c>
      <c r="BS37" s="245">
        <f>S16/'DATI (2)'!$E$14</f>
        <v>0</v>
      </c>
      <c r="BT37" s="245" t="e">
        <f>BR37/BQ37</f>
        <v>#DIV/0!</v>
      </c>
      <c r="BU37" s="245" t="e">
        <f>BS37/BQ37</f>
        <v>#DIV/0!</v>
      </c>
      <c r="BW37" s="68">
        <f>IF(F37="E",$Q$41*G37/$AI$41,0)</f>
        <v>0</v>
      </c>
    </row>
    <row r="38" spans="4:75" ht="19.5" customHeight="1">
      <c r="D38" s="246">
        <f>D17</f>
        <v>0</v>
      </c>
      <c r="E38" s="247">
        <f>F17</f>
        <v>0</v>
      </c>
      <c r="F38" s="248">
        <f>N17</f>
        <v>0</v>
      </c>
      <c r="G38" s="249">
        <f>Q17</f>
        <v>0</v>
      </c>
      <c r="H38" s="250">
        <f>AC17</f>
        <v>0</v>
      </c>
      <c r="I38" s="250"/>
      <c r="J38" s="250"/>
      <c r="K38" s="251">
        <f>(H38)*0.1</f>
        <v>0</v>
      </c>
      <c r="L38" s="251"/>
      <c r="M38" s="252">
        <f>IF($C$5="s",IF(SUM($H$41)&lt;=1000000,SUM(H38)*0.02,SUM(H38)*0.01),0)</f>
        <v>0</v>
      </c>
      <c r="N38" s="252"/>
      <c r="O38" s="253">
        <f>(M38*(0.04))</f>
        <v>0</v>
      </c>
      <c r="P38" s="254">
        <f>(M38+O38)*0.22</f>
        <v>0</v>
      </c>
      <c r="Q38" s="255">
        <f>IF(F38="E",G38*12,0)</f>
        <v>0</v>
      </c>
      <c r="R38" s="256">
        <f>BW38*0.22</f>
        <v>0</v>
      </c>
      <c r="S38" s="257"/>
      <c r="T38" s="258"/>
      <c r="U38" s="259">
        <f>(S38+T38)*0.22</f>
        <v>0</v>
      </c>
      <c r="V38" s="255">
        <f>H38*0.15</f>
        <v>0</v>
      </c>
      <c r="W38" s="253">
        <f>V38*0.04</f>
        <v>0</v>
      </c>
      <c r="X38" s="260">
        <f>0.22*(W38+V38)</f>
        <v>0</v>
      </c>
      <c r="Y38" s="261">
        <f>SUM(K38:X38)-Q38+BW38</f>
        <v>0</v>
      </c>
      <c r="Z38" s="262">
        <f>Y38+H38</f>
        <v>0</v>
      </c>
      <c r="AA38" s="262"/>
      <c r="AB38" s="240"/>
      <c r="AC38" s="240"/>
      <c r="AF38" s="151"/>
      <c r="AG38" s="151"/>
      <c r="AH38" s="241">
        <f>IF($N17="E",$T17,0)</f>
        <v>0</v>
      </c>
      <c r="AI38" s="241">
        <f>IF(OR($F38="E",$F38="E"),$G38,0)</f>
        <v>0</v>
      </c>
      <c r="AJ38" s="241">
        <f>IF(OR($F38="B",$F38="C"),$G38,0)</f>
        <v>0</v>
      </c>
      <c r="AK38" s="241">
        <f>IF($F38="A",$G38,0)</f>
        <v>0</v>
      </c>
      <c r="AL38" s="241">
        <f>IF($N17="A",$F17,0)</f>
        <v>0</v>
      </c>
      <c r="AM38" s="241">
        <f>IF(AND($F38="A",$F17&gt;0),$G38,0)</f>
        <v>0</v>
      </c>
      <c r="AN38" s="241">
        <f>IF($F17&gt;0,$G38,0)</f>
        <v>0</v>
      </c>
      <c r="AQ38" s="242">
        <f>IF($N17="E",$R17/'DATI (2)'!$E$13,0)</f>
        <v>0</v>
      </c>
      <c r="AR38" s="242">
        <f>IF($N17="E",$S17/'DATI (2)'!$E$14,0)</f>
        <v>0</v>
      </c>
      <c r="AS38" s="243">
        <f>($R17)/'DATI (2)'!$E$13</f>
        <v>0</v>
      </c>
      <c r="AT38" s="243">
        <f>$S17/'DATI (2)'!$E$14</f>
        <v>0</v>
      </c>
      <c r="AV38" s="242">
        <f>IF(AND($F38="E",$F17&gt;0),$R17/'DATI (2)'!$E$13,0)</f>
        <v>0</v>
      </c>
      <c r="AW38" s="244">
        <f>IF(AND($F38="E",$F17&gt;0),$Z38,0)</f>
        <v>0</v>
      </c>
      <c r="AX38" s="242">
        <f>IF(AND($F38="E",$F17=0),$R17/'DATI (2)'!$E$13,0)</f>
        <v>0</v>
      </c>
      <c r="AY38" s="244">
        <f>IF(AND($F38="E",$F17=0,R17&gt;0),$Z38*$BT38,0)</f>
        <v>0</v>
      </c>
      <c r="AZ38" s="242">
        <f>IF(AND($F38="E"),$S17/'DATI (2)'!$E$13,0)</f>
        <v>0</v>
      </c>
      <c r="BA38" s="244">
        <f>IF(AND($F38="E",$S17&gt;0),$Z38*$BU38,0)</f>
        <v>0</v>
      </c>
      <c r="BC38" s="242">
        <f>IF(AND(OR($F38="B",$F38="C"),$F17&gt;0),$R17/'DATI (2)'!$E$13,0)</f>
        <v>0</v>
      </c>
      <c r="BD38" s="244">
        <f>IF(AND(AND(OR($F38="B",$F38="C")),$F17&gt;0),$Z38,0)</f>
        <v>0</v>
      </c>
      <c r="BE38" s="242">
        <f>IF(AND(OR($F38="B",$F38="C"),$F17=0),$R17/'DATI (2)'!$E$13,0)</f>
        <v>0</v>
      </c>
      <c r="BF38" s="244">
        <f>IF(AND((OR($F38="B",$F38="C")),$F17=0,R17&gt;0),$Z38*$BT38,0)</f>
        <v>0</v>
      </c>
      <c r="BG38" s="242">
        <f>IF(AND(OR($F38="B",$F38="C")),$S17/'DATI (2)'!$E$13,0)</f>
        <v>0</v>
      </c>
      <c r="BH38" s="244">
        <f>IF(AND((OR($F38="B",$F38="C")),$S17&gt;0),$Z38*$BU38,0)</f>
        <v>0</v>
      </c>
      <c r="BJ38" s="242">
        <f>IF(AND($F38="A",$F17&gt;0),$R17/'DATI (2)'!$E$13,0)</f>
        <v>0</v>
      </c>
      <c r="BK38" s="244">
        <f>IF(AND($F38="a",$F17&gt;0),$Z38,0)</f>
        <v>0</v>
      </c>
      <c r="BL38" s="242">
        <f>IF(AND($F38="A",$F17=0),$R17/'DATI (2)'!$E$13,0)</f>
        <v>0</v>
      </c>
      <c r="BM38" s="244">
        <f>IF(AND($F38="a",$F17=0,R17&gt;0),$Z38*$BT38,0)</f>
        <v>0</v>
      </c>
      <c r="BN38" s="242">
        <f>IF(AND($F38="A"),$S17/'DATI (2)'!$E$13,0)</f>
        <v>0</v>
      </c>
      <c r="BO38" s="244">
        <f>IF(AND($F38="a",$S17&gt;0),$Z38*$BU38,0)</f>
        <v>0</v>
      </c>
      <c r="BQ38" s="245">
        <f>Q17</f>
        <v>0</v>
      </c>
      <c r="BR38" s="245">
        <f>R17/'DATI (2)'!$E$13</f>
        <v>0</v>
      </c>
      <c r="BS38" s="245">
        <f>S17/'DATI (2)'!$E$14</f>
        <v>0</v>
      </c>
      <c r="BT38" s="245" t="e">
        <f>BR38/BQ38</f>
        <v>#DIV/0!</v>
      </c>
      <c r="BU38" s="245" t="e">
        <f>BS38/BQ38</f>
        <v>#DIV/0!</v>
      </c>
      <c r="BW38" s="68">
        <f>IF(F38="E",$Q$41*G38/$AI$41,0)</f>
        <v>0</v>
      </c>
    </row>
    <row r="39" spans="4:75" ht="19.5" customHeight="1">
      <c r="D39" s="246">
        <f>D18</f>
        <v>0</v>
      </c>
      <c r="E39" s="247">
        <f>F18</f>
        <v>0</v>
      </c>
      <c r="F39" s="248">
        <f>N18</f>
        <v>0</v>
      </c>
      <c r="G39" s="249">
        <f>Q18</f>
        <v>0</v>
      </c>
      <c r="H39" s="250">
        <f>AC18</f>
        <v>0</v>
      </c>
      <c r="I39" s="250"/>
      <c r="J39" s="250"/>
      <c r="K39" s="251">
        <f>(H39)*0.1</f>
        <v>0</v>
      </c>
      <c r="L39" s="251"/>
      <c r="M39" s="252">
        <f>IF($C$5="s",IF(SUM($H$41)&lt;=1000000,SUM(H39)*0.02,SUM(H39)*0.01),0)</f>
        <v>0</v>
      </c>
      <c r="N39" s="252"/>
      <c r="O39" s="253">
        <f>(M39*(0.04))</f>
        <v>0</v>
      </c>
      <c r="P39" s="254">
        <f>(M39+O39)*0.22</f>
        <v>0</v>
      </c>
      <c r="Q39" s="255">
        <f>IF(F39="E",G39*12,0)</f>
        <v>0</v>
      </c>
      <c r="R39" s="256">
        <f>BW39*0.22</f>
        <v>0</v>
      </c>
      <c r="S39" s="257">
        <f>IF(F39="E",H39*1.5%,0)</f>
        <v>0</v>
      </c>
      <c r="T39" s="258">
        <f>S39*0.02</f>
        <v>0</v>
      </c>
      <c r="U39" s="259">
        <f>(S39+T39)*0.22</f>
        <v>0</v>
      </c>
      <c r="V39" s="255">
        <f>H39*0.15</f>
        <v>0</v>
      </c>
      <c r="W39" s="253">
        <f>V39*0.04</f>
        <v>0</v>
      </c>
      <c r="X39" s="260">
        <f>0.22*(W39+V39)</f>
        <v>0</v>
      </c>
      <c r="Y39" s="261">
        <f>SUM(K39:X39)-Q39+BW39</f>
        <v>0</v>
      </c>
      <c r="Z39" s="262">
        <f>Y39+H39</f>
        <v>0</v>
      </c>
      <c r="AA39" s="262"/>
      <c r="AB39" s="240"/>
      <c r="AC39" s="240"/>
      <c r="AF39" s="151"/>
      <c r="AG39" s="151"/>
      <c r="AH39" s="241">
        <f>IF($N18="E",$T18,0)</f>
        <v>0</v>
      </c>
      <c r="AI39" s="241">
        <f>IF(OR($F39="E",$F39="E"),$G39,0)</f>
        <v>0</v>
      </c>
      <c r="AJ39" s="241">
        <f>IF(OR($F39="B",$F39="C"),$G39,0)</f>
        <v>0</v>
      </c>
      <c r="AK39" s="241">
        <f>IF($F39="A",$G39,0)</f>
        <v>0</v>
      </c>
      <c r="AL39" s="241">
        <f>IF($N18="A",$F18,0)</f>
        <v>0</v>
      </c>
      <c r="AM39" s="241">
        <f>IF(AND($F39="A",$F18&gt;0),$G39,0)</f>
        <v>0</v>
      </c>
      <c r="AN39" s="241">
        <f>IF($F18&gt;0,$G39,0)</f>
        <v>0</v>
      </c>
      <c r="AQ39" s="242">
        <f>IF($N18="E",$R18/'DATI (2)'!$E$13,0)</f>
        <v>0</v>
      </c>
      <c r="AR39" s="242">
        <f>IF($N18="E",$S18/'DATI (2)'!$E$14,0)</f>
        <v>0</v>
      </c>
      <c r="AS39" s="243">
        <f>($R18)/'DATI (2)'!$E$13</f>
        <v>0</v>
      </c>
      <c r="AT39" s="243">
        <f>$S18/'DATI (2)'!$E$14</f>
        <v>0</v>
      </c>
      <c r="AV39" s="242">
        <f>IF(AND($F39="E",$F18&gt;0),$R18/'DATI (2)'!$E$13,0)</f>
        <v>0</v>
      </c>
      <c r="AW39" s="244">
        <f>IF(AND($F39="E",$F18&gt;0),$Z39,0)</f>
        <v>0</v>
      </c>
      <c r="AX39" s="242">
        <f>IF(AND($F39="E",$F18=0),$R18/'DATI (2)'!$E$13,0)</f>
        <v>0</v>
      </c>
      <c r="AY39" s="244">
        <f>IF(AND($F39="E",$F18=0,R18&gt;0),$Z39*$BT39,0)</f>
        <v>0</v>
      </c>
      <c r="AZ39" s="242">
        <f>IF(AND($F39="E"),$S18/'DATI (2)'!$E$13,0)</f>
        <v>0</v>
      </c>
      <c r="BA39" s="244">
        <f>IF(AND($F39="E",$S18&gt;0),$Z39*$BU39,0)</f>
        <v>0</v>
      </c>
      <c r="BC39" s="242">
        <f>IF(AND(OR($F39="B",$F39="C"),$F18&gt;0),$R18/'DATI (2)'!$E$13,0)</f>
        <v>0</v>
      </c>
      <c r="BD39" s="244">
        <f>IF(AND(AND(OR($F39="B",$F39="C")),$F18&gt;0),$Z39,0)</f>
        <v>0</v>
      </c>
      <c r="BE39" s="242">
        <f>IF(AND(OR($F39="B",$F39="C"),$F18=0),$R18/'DATI (2)'!$E$13,0)</f>
        <v>0</v>
      </c>
      <c r="BF39" s="244">
        <f>IF(AND((OR($F39="B",$F39="C")),$F18=0,R18&gt;0),$Z39*$BT39,0)</f>
        <v>0</v>
      </c>
      <c r="BG39" s="242">
        <f>IF(AND(OR($F39="B",$F39="C")),$S18/'DATI (2)'!$E$13,0)</f>
        <v>0</v>
      </c>
      <c r="BH39" s="244">
        <f>IF(AND((OR($F39="B",$F39="C")),$S18&gt;0),$Z39*$BU39,0)</f>
        <v>0</v>
      </c>
      <c r="BJ39" s="242">
        <f>IF(AND($F39="A",$F18&gt;0),$R18/'DATI (2)'!$E$13,0)</f>
        <v>0</v>
      </c>
      <c r="BK39" s="244">
        <f>IF(AND($F39="a",$F18&gt;0),$Z39,0)</f>
        <v>0</v>
      </c>
      <c r="BL39" s="242">
        <f>IF(AND($F39="A",$F18=0),$R18/'DATI (2)'!$E$13,0)</f>
        <v>0</v>
      </c>
      <c r="BM39" s="244">
        <f>IF(AND($F39="a",$F18=0,R18&gt;0),$Z39*$BT39,0)</f>
        <v>0</v>
      </c>
      <c r="BN39" s="242">
        <f>IF(AND($F39="A"),$S18/'DATI (2)'!$E$13,0)</f>
        <v>0</v>
      </c>
      <c r="BO39" s="244">
        <f>IF(AND($F39="a",$S18&gt;0),$Z39*$BU39,0)</f>
        <v>0</v>
      </c>
      <c r="BQ39" s="245">
        <f>Q18</f>
        <v>0</v>
      </c>
      <c r="BR39" s="245">
        <f>R18/'DATI (2)'!$E$13</f>
        <v>0</v>
      </c>
      <c r="BS39" s="245">
        <f>S18/'DATI (2)'!$E$14</f>
        <v>0</v>
      </c>
      <c r="BT39" s="245" t="e">
        <f>BR39/BQ39</f>
        <v>#DIV/0!</v>
      </c>
      <c r="BU39" s="245" t="e">
        <f>BS39/BQ39</f>
        <v>#DIV/0!</v>
      </c>
      <c r="BW39" s="68">
        <f>IF(F39="E",$Q$41*G39/$AI$41,0)</f>
        <v>0</v>
      </c>
    </row>
    <row r="40" spans="4:75" ht="19.5" customHeight="1">
      <c r="D40" s="265"/>
      <c r="E40" s="266"/>
      <c r="F40" s="267"/>
      <c r="G40" s="268"/>
      <c r="H40" s="269">
        <f>AC19</f>
        <v>0</v>
      </c>
      <c r="I40" s="269"/>
      <c r="J40" s="269"/>
      <c r="K40" s="270">
        <f>(H40)*0.1</f>
        <v>0</v>
      </c>
      <c r="L40" s="270"/>
      <c r="M40" s="271">
        <f>IF($C$5="s",IF(SUM($H$41)&lt;=1000000,SUM(H40)*0.02,SUM(H40)*0.01),0)</f>
        <v>0</v>
      </c>
      <c r="N40" s="271"/>
      <c r="O40" s="272">
        <f>(M40*(0.04))</f>
        <v>0</v>
      </c>
      <c r="P40" s="273">
        <f>(M40+O40)*0.22</f>
        <v>0</v>
      </c>
      <c r="Q40" s="274">
        <f>IF(F40="E",G40*12,0)</f>
        <v>0</v>
      </c>
      <c r="R40" s="275">
        <f>BW40*0.22</f>
        <v>0</v>
      </c>
      <c r="S40" s="299">
        <f>IF(F40="E",H40*1.5%,0)</f>
        <v>0</v>
      </c>
      <c r="T40" s="300">
        <f>S40*0.02</f>
        <v>0</v>
      </c>
      <c r="U40" s="301">
        <f>(S40+T40)*0.22</f>
        <v>0</v>
      </c>
      <c r="V40" s="274">
        <f>H40*0.15</f>
        <v>0</v>
      </c>
      <c r="W40" s="272">
        <f>V40*0.04</f>
        <v>0</v>
      </c>
      <c r="X40" s="276">
        <f>0.22*(W40+V40)</f>
        <v>0</v>
      </c>
      <c r="Y40" s="277">
        <f>SUM(K40:X40)-Q40+BW40</f>
        <v>0</v>
      </c>
      <c r="Z40" s="278">
        <f>Y40+H40</f>
        <v>0</v>
      </c>
      <c r="AA40" s="278"/>
      <c r="AB40" s="240"/>
      <c r="AC40" s="240"/>
      <c r="AF40" s="151"/>
      <c r="AG40" s="151"/>
      <c r="AH40" s="279">
        <f>IF($N19="E",$T19,0)</f>
        <v>0</v>
      </c>
      <c r="AI40" s="241">
        <f>IF(OR($F40="E",$F40="E"),$G40,0)</f>
        <v>0</v>
      </c>
      <c r="AJ40" s="279">
        <f>IF(OR($F40="B",$F40="C"),$G40,0)</f>
        <v>0</v>
      </c>
      <c r="AK40" s="279">
        <f>IF($F40="A",$G40,0)</f>
        <v>0</v>
      </c>
      <c r="AL40" s="279">
        <f>IF($N19="A",$F19,0)</f>
        <v>0</v>
      </c>
      <c r="AM40" s="241">
        <f>IF(AND($F40="A",$F19&gt;0),$G40,0)</f>
        <v>0</v>
      </c>
      <c r="AN40" s="241">
        <f>IF($F19&gt;0,$G40,0)</f>
        <v>0</v>
      </c>
      <c r="AQ40" s="242">
        <f>IF($N19="E",$R19/'DATI (2)'!$E$13,0)</f>
        <v>0</v>
      </c>
      <c r="AR40" s="242">
        <f>IF($N19="E",$S19/'DATI (2)'!$E$14,0)</f>
        <v>0</v>
      </c>
      <c r="AS40" s="243">
        <f>($R19)/'DATI (2)'!$E$13</f>
        <v>0</v>
      </c>
      <c r="AT40" s="243">
        <f>$S19/'DATI (2)'!$E$14</f>
        <v>0</v>
      </c>
      <c r="AV40" s="242">
        <f>IF(AND($F40="E",$F19&gt;0),$R19/'DATI (2)'!$E$13,0)</f>
        <v>0</v>
      </c>
      <c r="AW40" s="244">
        <f>IF(AND($F40="E",$F19&gt;0),$Z40,0)</f>
        <v>0</v>
      </c>
      <c r="AX40" s="242">
        <f>IF(AND($F40="E",$F19=0),$R19/'DATI (2)'!$E$13,0)</f>
        <v>0</v>
      </c>
      <c r="AY40" s="244">
        <f>IF(AND($F40="E",$F19=0,R19&gt;0),$Z40*$BT40,0)</f>
        <v>0</v>
      </c>
      <c r="AZ40" s="242">
        <f>IF(AND($F40="E"),$S19/'DATI (2)'!$E$13,0)</f>
        <v>0</v>
      </c>
      <c r="BA40" s="244">
        <f>IF(AND($F40="E",$S19&gt;0),$Z40*$BU40,0)</f>
        <v>0</v>
      </c>
      <c r="BC40" s="242">
        <f>IF(AND(OR($F40="B",$F40="C"),$F19&gt;0),$R19/'DATI (2)'!$E$13,0)</f>
        <v>0</v>
      </c>
      <c r="BD40" s="244">
        <f>IF(AND(AND(OR($F40="B",$F40="C")),$F19&gt;0),$Z40,0)</f>
        <v>0</v>
      </c>
      <c r="BE40" s="242">
        <f>IF(AND(OR($F40="B",$F40="C"),$F19=0),$R19/'DATI (2)'!$E$13,0)</f>
        <v>0</v>
      </c>
      <c r="BF40" s="244">
        <f>IF(AND((OR($F40="B",$F40="C")),$F19=0,R19&gt;0),$Z40*$BT40,0)</f>
        <v>0</v>
      </c>
      <c r="BG40" s="242">
        <f>IF(AND(OR($F40="B",$F40="C")),$S19/'DATI (2)'!$E$13,0)</f>
        <v>0</v>
      </c>
      <c r="BH40" s="244">
        <f>IF(AND((OR($F40="B",$F40="C")),$S19&gt;0),$Z40*$BU40,0)</f>
        <v>0</v>
      </c>
      <c r="BJ40" s="242">
        <f>IF(AND($F40="A",$F19&gt;0),$R19/'DATI (2)'!$E$13,0)</f>
        <v>0</v>
      </c>
      <c r="BK40" s="244">
        <f>IF(AND($F40="a",$F19&gt;0),$Z40,0)</f>
        <v>0</v>
      </c>
      <c r="BL40" s="242">
        <f>IF(AND($F40="A",$F19=0),$R19/'DATI (2)'!$E$13,0)</f>
        <v>0</v>
      </c>
      <c r="BM40" s="244">
        <f>IF(AND($F40="a",$F19=0,R19&gt;0),$Z40*$BT40,0)</f>
        <v>0</v>
      </c>
      <c r="BN40" s="242">
        <f>IF(AND($F40="A"),$S19/'DATI (2)'!$E$13,0)</f>
        <v>0</v>
      </c>
      <c r="BO40" s="244">
        <f>IF(AND($F40="a",$S19&gt;0),$Z40*$BU40,0)</f>
        <v>0</v>
      </c>
      <c r="BQ40" s="245">
        <f>Q19</f>
      </c>
      <c r="BR40" s="245">
        <f>R19/'DATI (2)'!$E$13</f>
        <v>0</v>
      </c>
      <c r="BS40" s="245">
        <f>S19/'DATI (2)'!$E$14</f>
        <v>0</v>
      </c>
      <c r="BT40" s="245" t="e">
        <f>BR40/BQ40</f>
        <v>#DIV/0!</v>
      </c>
      <c r="BU40" s="245" t="e">
        <f>BS40/BQ40</f>
        <v>#DIV/0!</v>
      </c>
      <c r="BW40" s="68">
        <f>IF(F40="E",$Q$41*G40/$AI$41,0)</f>
        <v>0</v>
      </c>
    </row>
    <row r="41" spans="4:75" s="196" customFormat="1" ht="21" customHeight="1">
      <c r="D41" s="280" t="s">
        <v>125</v>
      </c>
      <c r="E41" s="280"/>
      <c r="F41" s="280"/>
      <c r="G41" s="280"/>
      <c r="H41" s="281">
        <f>SUM(H26:H40)</f>
        <v>180483.67199999996</v>
      </c>
      <c r="I41" s="281"/>
      <c r="J41" s="281"/>
      <c r="K41" s="282">
        <f>SUM(K26:K40)</f>
        <v>18048.3672</v>
      </c>
      <c r="L41" s="282"/>
      <c r="M41" s="282">
        <f>SUM(M26:M40)</f>
        <v>3609.67344</v>
      </c>
      <c r="N41" s="282"/>
      <c r="O41" s="283">
        <f>SUM(O26:O40)</f>
        <v>144.3869376</v>
      </c>
      <c r="P41" s="283">
        <f>SUM(P26:P40)</f>
        <v>825.8932830719999</v>
      </c>
      <c r="Q41" s="283">
        <f>IF(A5&gt;0,MIN(MAXA(5000,(SUM(Q26:Q40))),20000),0)</f>
        <v>5000</v>
      </c>
      <c r="R41" s="283">
        <f>Q41*0.22</f>
        <v>1100</v>
      </c>
      <c r="S41" s="283">
        <f>SUM(S26:S40)</f>
        <v>1367.2814399999997</v>
      </c>
      <c r="T41" s="283">
        <f>SUM(T26:T40)</f>
        <v>27.345628799999997</v>
      </c>
      <c r="U41" s="283">
        <f>SUM(U26:U40)</f>
        <v>306.81795513599997</v>
      </c>
      <c r="V41" s="283">
        <f>SUM(V26:V40)</f>
        <v>27072.550799999997</v>
      </c>
      <c r="W41" s="283">
        <f>SUM(W26:W40)</f>
        <v>1082.902032</v>
      </c>
      <c r="X41" s="283">
        <f>SUM(X26:X40)</f>
        <v>6194.19962304</v>
      </c>
      <c r="Y41" s="283">
        <f>SUM(Y26:Y40)</f>
        <v>64779.418339648</v>
      </c>
      <c r="Z41" s="284">
        <f>SUM(Z26:AA40)</f>
        <v>245263.090339648</v>
      </c>
      <c r="AA41" s="284"/>
      <c r="AB41" s="284"/>
      <c r="AC41" s="285"/>
      <c r="AF41" s="286"/>
      <c r="AG41" s="287" t="s">
        <v>125</v>
      </c>
      <c r="AH41" s="288">
        <f>SUM(AH26:AH40)</f>
        <v>71.39999999999999</v>
      </c>
      <c r="AI41" s="288">
        <f>SUM(AI26:AI40)</f>
        <v>140</v>
      </c>
      <c r="AJ41" s="288">
        <f>SUM(AJ26:AJ40)</f>
        <v>0</v>
      </c>
      <c r="AK41" s="288">
        <f>SUM(AK26:AK40)-AM41</f>
        <v>254.60000000000002</v>
      </c>
      <c r="AL41" s="288">
        <f>SUM(AL26:AL40)</f>
        <v>2</v>
      </c>
      <c r="AM41" s="288">
        <f>SUM(AM26:AM40)</f>
        <v>359</v>
      </c>
      <c r="AN41" s="288">
        <f>SUM(AN26:AN40)</f>
        <v>359</v>
      </c>
      <c r="AQ41" s="289">
        <f>SUM(AQ26:AQ40)</f>
        <v>0</v>
      </c>
      <c r="AR41" s="289">
        <f>SUM(AR26:AR40)</f>
        <v>140</v>
      </c>
      <c r="AS41" s="289">
        <f>SUM(AS26:AS40)</f>
        <v>543.6</v>
      </c>
      <c r="AT41" s="289">
        <f>SUM(AT26:AT40)</f>
        <v>210</v>
      </c>
      <c r="AU41" s="70"/>
      <c r="AV41" s="289">
        <f>SUM(AV26:AV40)</f>
        <v>0</v>
      </c>
      <c r="AW41" s="290">
        <f>SUM(AW26:AW40)</f>
        <v>0</v>
      </c>
      <c r="AX41" s="289">
        <f>SUM(AX26:AX40)</f>
        <v>0</v>
      </c>
      <c r="AY41" s="290">
        <f>SUM(AY26:AY40)</f>
        <v>0</v>
      </c>
      <c r="AZ41" s="289">
        <f>SUM(AZ26:AZ40)</f>
        <v>140</v>
      </c>
      <c r="BA41" s="290">
        <f>SUM(BA26:BA40)</f>
        <v>127729.893122752</v>
      </c>
      <c r="BB41" s="68"/>
      <c r="BC41" s="289">
        <f>SUM(BC26:BC40)</f>
        <v>0</v>
      </c>
      <c r="BD41" s="290">
        <f>SUM(BD26:BD40)</f>
        <v>0</v>
      </c>
      <c r="BE41" s="289">
        <f>SUM(BE26:BE40)</f>
        <v>0</v>
      </c>
      <c r="BF41" s="290">
        <f>SUM(BF26:BF40)</f>
        <v>0</v>
      </c>
      <c r="BG41" s="289">
        <f>SUM(BG26:BG40)</f>
        <v>0</v>
      </c>
      <c r="BH41" s="289">
        <f>SUM(BH26:BH40)</f>
        <v>0</v>
      </c>
      <c r="BI41" s="68"/>
      <c r="BJ41" s="289">
        <f>SUM(BJ26:BJ40)</f>
        <v>359</v>
      </c>
      <c r="BK41" s="290">
        <f>SUM(BK26:BK40)</f>
        <v>79342.56047248</v>
      </c>
      <c r="BL41" s="289">
        <f>SUM(BL26:BL40)</f>
        <v>184.6</v>
      </c>
      <c r="BM41" s="290">
        <f>SUM(BM26:BM40)</f>
        <v>27690.461677216</v>
      </c>
      <c r="BN41" s="289">
        <f>SUM(BN26:BN40)</f>
        <v>70</v>
      </c>
      <c r="BO41" s="289">
        <f>SUM(BO26:BO40)</f>
        <v>10500.175067200002</v>
      </c>
      <c r="BW41" s="196">
        <f>SUM(BW26:BW40)</f>
        <v>5000</v>
      </c>
    </row>
    <row r="42" spans="32:67" ht="12.75">
      <c r="AF42" s="291"/>
      <c r="AG42" s="292" t="s">
        <v>126</v>
      </c>
      <c r="AH42" s="293">
        <f>COUNTIF($N$5:$N$19,"E")</f>
        <v>1</v>
      </c>
      <c r="AI42" s="294">
        <f>COUNTIF($N$5:$N$19,"B")+COUNTIF($N$5:$N$19,"C")</f>
        <v>0</v>
      </c>
      <c r="AJ42" s="294">
        <f>COUNTIF($N$5:$N$19,"B")+COUNTIF($N$5:$N$19,"C")</f>
        <v>0</v>
      </c>
      <c r="AK42" s="294">
        <f>AK43-AL42</f>
        <v>2</v>
      </c>
      <c r="AL42" s="294">
        <f>SUM(AL26:AL40)</f>
        <v>2</v>
      </c>
      <c r="AM42" s="294">
        <f>SUM(AM26:AM40)</f>
        <v>359</v>
      </c>
      <c r="AN42" s="294">
        <f>SUM(AN26:AN40)</f>
        <v>359</v>
      </c>
      <c r="AQ42" s="295">
        <f>COUNTIF($P$4:$P$18,"E")</f>
        <v>0</v>
      </c>
      <c r="AR42" s="295"/>
      <c r="AS42" s="295">
        <f>COUNTIF($P$4:$P$18,"E")</f>
        <v>0</v>
      </c>
      <c r="AT42" s="295">
        <f>COUNTIF($P$4:$P$18,"E")</f>
        <v>0</v>
      </c>
      <c r="AV42" s="295">
        <f>COUNTIF(AV26:AV40,"&gt;0")</f>
        <v>0</v>
      </c>
      <c r="AW42" s="295"/>
      <c r="AX42" s="295">
        <f>COUNTIF(AX26:AX40,"&gt;0")</f>
        <v>0</v>
      </c>
      <c r="AY42" s="295"/>
      <c r="AZ42" s="295">
        <f>COUNTIF(AZ26:AZ40,"&gt;0")</f>
        <v>1</v>
      </c>
      <c r="BA42" s="295"/>
      <c r="BC42" s="295">
        <f>COUNTIF(BC26:BC40,"&gt;0")</f>
        <v>0</v>
      </c>
      <c r="BD42" s="295"/>
      <c r="BE42" s="295">
        <f>COUNTIF(BE26:BE40,"&gt;0")</f>
        <v>0</v>
      </c>
      <c r="BF42" s="295"/>
      <c r="BG42" s="295">
        <f>COUNTIF(BG26:BG40,"&gt;0")</f>
        <v>0</v>
      </c>
      <c r="BH42" s="295">
        <f>COUNTIF(BH26:BH40,"&gt;0")</f>
        <v>0</v>
      </c>
      <c r="BJ42" s="295">
        <f>COUNTIF(BJ26:BJ40,"&gt;0")</f>
        <v>2</v>
      </c>
      <c r="BK42" s="295"/>
      <c r="BL42" s="295">
        <f>COUNTIF(BL26:BL40,"&gt;0")</f>
        <v>1</v>
      </c>
      <c r="BM42" s="295"/>
      <c r="BN42" s="295">
        <f>COUNTIF(BN26:BN40,"&gt;0")</f>
        <v>1</v>
      </c>
      <c r="BO42" s="295">
        <f>COUNTIF(BO26:BO40,"&gt;0")</f>
        <v>1</v>
      </c>
    </row>
    <row r="43" spans="4:39" ht="12.75">
      <c r="D43" s="68" t="s">
        <v>127</v>
      </c>
      <c r="AF43" s="151"/>
      <c r="AG43" s="151"/>
      <c r="AH43" s="151"/>
      <c r="AI43" s="296" t="s">
        <v>128</v>
      </c>
      <c r="AJ43" s="296" t="s">
        <v>128</v>
      </c>
      <c r="AK43" s="297">
        <f>COUNTIF($N$5:$N$19,"A")</f>
        <v>4</v>
      </c>
      <c r="AL43" s="151"/>
      <c r="AM43" s="151"/>
    </row>
    <row r="44" spans="4:39" ht="12.75">
      <c r="D44" s="68" t="s">
        <v>129</v>
      </c>
      <c r="AF44" s="151"/>
      <c r="AG44" s="151"/>
      <c r="AH44" s="151"/>
      <c r="AI44" s="296" t="s">
        <v>128</v>
      </c>
      <c r="AJ44" s="296" t="s">
        <v>128</v>
      </c>
      <c r="AK44" s="294">
        <f>SUM(AK26:AK40)</f>
        <v>613.6</v>
      </c>
      <c r="AL44" s="151"/>
      <c r="AM44" s="151"/>
    </row>
    <row r="45" spans="4:64" ht="12.75">
      <c r="D45" s="68" t="s">
        <v>130</v>
      </c>
      <c r="AF45" s="151"/>
      <c r="AG45" s="151"/>
      <c r="AH45" s="151"/>
      <c r="AI45" s="68" t="s">
        <v>131</v>
      </c>
      <c r="AJ45" s="151"/>
      <c r="AK45" s="294">
        <f>(SUM(S5:S19)/'DATI (2)'!$E$14)</f>
        <v>210</v>
      </c>
      <c r="AL45" s="151"/>
      <c r="AM45" s="151"/>
      <c r="BJ45" s="264">
        <f>$BM$41+$BK$41+$BO$41+$BH$41+$BF$41+$BD$41+$BA$41+$AY$41+$AW$41</f>
        <v>245263.090339648</v>
      </c>
      <c r="BK45" s="264">
        <f>$Z$41</f>
        <v>245263.090339648</v>
      </c>
      <c r="BL45" s="264">
        <f>BJ45-BK45</f>
        <v>0</v>
      </c>
    </row>
    <row r="46" spans="20:42" ht="12.75">
      <c r="T46" s="198"/>
      <c r="AF46" s="151"/>
      <c r="AG46" s="151"/>
      <c r="AH46" s="151"/>
      <c r="AI46" s="151"/>
      <c r="AJ46" s="151"/>
      <c r="AK46" s="151"/>
      <c r="AL46" s="151"/>
      <c r="AM46" s="71"/>
      <c r="AN46" s="71"/>
      <c r="AO46" s="71"/>
      <c r="AP46" s="71"/>
    </row>
    <row r="47" spans="32:42" ht="12.75"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</row>
    <row r="48" spans="32:42" ht="12.75"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</row>
    <row r="49" spans="32:42" ht="12.75"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</row>
  </sheetData>
  <sheetProtection selectLockedCells="1" selectUnlockedCells="1"/>
  <mergeCells count="78">
    <mergeCell ref="D3:T3"/>
    <mergeCell ref="U3:AC3"/>
    <mergeCell ref="D24:X24"/>
    <mergeCell ref="Y24:AC24"/>
    <mergeCell ref="AI24:AK24"/>
    <mergeCell ref="AL24:AM24"/>
    <mergeCell ref="AV24:BO24"/>
    <mergeCell ref="H25:J25"/>
    <mergeCell ref="K25:L25"/>
    <mergeCell ref="M25:N25"/>
    <mergeCell ref="Z25:AA25"/>
    <mergeCell ref="AB25:AC25"/>
    <mergeCell ref="H26:J26"/>
    <mergeCell ref="K26:L26"/>
    <mergeCell ref="M26:N26"/>
    <mergeCell ref="Z26:AA26"/>
    <mergeCell ref="AB26:AC40"/>
    <mergeCell ref="H27:J27"/>
    <mergeCell ref="K27:L27"/>
    <mergeCell ref="M27:N27"/>
    <mergeCell ref="Z27:AA27"/>
    <mergeCell ref="H28:J28"/>
    <mergeCell ref="K28:L28"/>
    <mergeCell ref="M28:N28"/>
    <mergeCell ref="Z28:AA28"/>
    <mergeCell ref="H29:J29"/>
    <mergeCell ref="K29:L29"/>
    <mergeCell ref="M29:N29"/>
    <mergeCell ref="Z29:AA29"/>
    <mergeCell ref="H30:J30"/>
    <mergeCell ref="K30:L30"/>
    <mergeCell ref="M30:N30"/>
    <mergeCell ref="Z30:AA30"/>
    <mergeCell ref="H31:J31"/>
    <mergeCell ref="K31:L31"/>
    <mergeCell ref="M31:N31"/>
    <mergeCell ref="Z31:AA31"/>
    <mergeCell ref="H32:J32"/>
    <mergeCell ref="K32:L32"/>
    <mergeCell ref="M32:N32"/>
    <mergeCell ref="Z32:AA32"/>
    <mergeCell ref="H33:J33"/>
    <mergeCell ref="K33:L33"/>
    <mergeCell ref="M33:N33"/>
    <mergeCell ref="Z33:AA33"/>
    <mergeCell ref="H34:J34"/>
    <mergeCell ref="K34:L34"/>
    <mergeCell ref="M34:N34"/>
    <mergeCell ref="Z34:AA34"/>
    <mergeCell ref="H35:J35"/>
    <mergeCell ref="K35:L35"/>
    <mergeCell ref="M35:N35"/>
    <mergeCell ref="Z35:AA35"/>
    <mergeCell ref="H36:J36"/>
    <mergeCell ref="K36:L36"/>
    <mergeCell ref="M36:N36"/>
    <mergeCell ref="Z36:AA36"/>
    <mergeCell ref="H37:J37"/>
    <mergeCell ref="K37:L37"/>
    <mergeCell ref="M37:N37"/>
    <mergeCell ref="Z37:AA37"/>
    <mergeCell ref="H38:J38"/>
    <mergeCell ref="K38:L38"/>
    <mergeCell ref="M38:N38"/>
    <mergeCell ref="Z38:AA38"/>
    <mergeCell ref="H39:J39"/>
    <mergeCell ref="K39:L39"/>
    <mergeCell ref="M39:N39"/>
    <mergeCell ref="Z39:AA39"/>
    <mergeCell ref="H40:J40"/>
    <mergeCell ref="K40:L40"/>
    <mergeCell ref="M40:N40"/>
    <mergeCell ref="Z40:AA40"/>
    <mergeCell ref="D41:G41"/>
    <mergeCell ref="H41:J41"/>
    <mergeCell ref="K41:L41"/>
    <mergeCell ref="M41:N41"/>
    <mergeCell ref="Z41:AA41"/>
  </mergeCells>
  <conditionalFormatting sqref="S26:U4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49"/>
  <sheetViews>
    <sheetView zoomScale="75" zoomScaleNormal="75" zoomScaleSheetLayoutView="70" workbookViewId="0" topLeftCell="BF17">
      <selection activeCell="S6" sqref="S6"/>
    </sheetView>
  </sheetViews>
  <sheetFormatPr defaultColWidth="9.140625" defaultRowHeight="12.75"/>
  <cols>
    <col min="1" max="1" width="12.140625" style="68" customWidth="1"/>
    <col min="2" max="2" width="7.57421875" style="68" customWidth="1"/>
    <col min="3" max="3" width="10.140625" style="68" customWidth="1"/>
    <col min="4" max="5" width="10.421875" style="68" customWidth="1"/>
    <col min="6" max="6" width="7.7109375" style="68" customWidth="1"/>
    <col min="7" max="7" width="14.57421875" style="68" customWidth="1"/>
    <col min="8" max="9" width="13.00390625" style="68" customWidth="1"/>
    <col min="10" max="10" width="22.140625" style="68" customWidth="1"/>
    <col min="11" max="12" width="8.28125" style="68" customWidth="1"/>
    <col min="13" max="13" width="11.28125" style="68" customWidth="1"/>
    <col min="14" max="14" width="12.57421875" style="69" customWidth="1"/>
    <col min="15" max="15" width="25.28125" style="69" customWidth="1"/>
    <col min="16" max="16" width="16.57421875" style="69" customWidth="1"/>
    <col min="17" max="17" width="15.28125" style="69" customWidth="1"/>
    <col min="18" max="18" width="14.8515625" style="69" customWidth="1"/>
    <col min="19" max="19" width="18.140625" style="69" customWidth="1"/>
    <col min="20" max="20" width="27.140625" style="69" customWidth="1"/>
    <col min="21" max="21" width="21.7109375" style="68" customWidth="1"/>
    <col min="22" max="22" width="20.7109375" style="68" customWidth="1"/>
    <col min="23" max="23" width="19.7109375" style="68" customWidth="1"/>
    <col min="24" max="24" width="21.140625" style="68" customWidth="1"/>
    <col min="25" max="25" width="19.8515625" style="68" customWidth="1"/>
    <col min="26" max="26" width="10.421875" style="68" customWidth="1"/>
    <col min="27" max="28" width="21.57421875" style="68" customWidth="1"/>
    <col min="29" max="29" width="21.140625" style="68" customWidth="1"/>
    <col min="30" max="31" width="1.421875" style="68" customWidth="1"/>
    <col min="32" max="32" width="12.28125" style="68" customWidth="1"/>
    <col min="33" max="33" width="7.7109375" style="68" customWidth="1"/>
    <col min="34" max="34" width="12.421875" style="68" customWidth="1"/>
    <col min="35" max="35" width="12.140625" style="68" customWidth="1"/>
    <col min="36" max="36" width="9.28125" style="68" customWidth="1"/>
    <col min="37" max="37" width="15.28125" style="68" customWidth="1"/>
    <col min="38" max="38" width="12.7109375" style="68" customWidth="1"/>
    <col min="39" max="39" width="11.00390625" style="68" customWidth="1"/>
    <col min="40" max="40" width="12.140625" style="68" customWidth="1"/>
    <col min="41" max="46" width="8.8515625" style="68" customWidth="1"/>
    <col min="47" max="47" width="8.8515625" style="70" customWidth="1"/>
    <col min="48" max="50" width="8.8515625" style="68" customWidth="1"/>
    <col min="51" max="51" width="13.8515625" style="68" customWidth="1"/>
    <col min="52" max="61" width="8.8515625" style="68" customWidth="1"/>
    <col min="62" max="63" width="11.8515625" style="68" customWidth="1"/>
    <col min="64" max="64" width="8.8515625" style="68" customWidth="1"/>
    <col min="65" max="65" width="15.140625" style="68" customWidth="1"/>
    <col min="66" max="16384" width="8.8515625" style="68" customWidth="1"/>
  </cols>
  <sheetData>
    <row r="1" spans="32:42" ht="12.75"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</row>
    <row r="2" spans="4:42" ht="36" customHeight="1"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4" t="s">
        <v>143</v>
      </c>
      <c r="P2" s="74"/>
      <c r="Q2" s="73"/>
      <c r="R2" s="73"/>
      <c r="S2" s="73" t="s">
        <v>144</v>
      </c>
      <c r="T2" s="74" t="s">
        <v>35</v>
      </c>
      <c r="U2" s="74" t="s">
        <v>145</v>
      </c>
      <c r="V2" s="74" t="s">
        <v>37</v>
      </c>
      <c r="W2" s="73"/>
      <c r="X2" s="73"/>
      <c r="Y2" s="73"/>
      <c r="Z2" s="73"/>
      <c r="AA2" s="73"/>
      <c r="AB2" s="73"/>
      <c r="AC2" s="75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4:42" ht="25.5" customHeight="1">
      <c r="D3" s="76" t="s">
        <v>38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 t="s">
        <v>39</v>
      </c>
      <c r="V3" s="76"/>
      <c r="W3" s="76"/>
      <c r="X3" s="76"/>
      <c r="Y3" s="76"/>
      <c r="Z3" s="76"/>
      <c r="AA3" s="76"/>
      <c r="AB3" s="76"/>
      <c r="AC3" s="76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47" s="88" customFormat="1" ht="75" customHeight="1">
      <c r="A4" s="77" t="s">
        <v>40</v>
      </c>
      <c r="B4" s="77" t="s">
        <v>41</v>
      </c>
      <c r="C4" s="78" t="s">
        <v>42</v>
      </c>
      <c r="D4" s="79" t="s">
        <v>43</v>
      </c>
      <c r="E4" s="80" t="s">
        <v>44</v>
      </c>
      <c r="F4" s="80" t="s">
        <v>45</v>
      </c>
      <c r="G4" s="80" t="s">
        <v>46</v>
      </c>
      <c r="H4" s="80" t="s">
        <v>47</v>
      </c>
      <c r="I4" s="80" t="s">
        <v>48</v>
      </c>
      <c r="J4" s="80" t="s">
        <v>49</v>
      </c>
      <c r="K4" s="80" t="s">
        <v>50</v>
      </c>
      <c r="L4" s="80" t="s">
        <v>51</v>
      </c>
      <c r="M4" s="81" t="s">
        <v>52</v>
      </c>
      <c r="N4" s="82" t="s">
        <v>53</v>
      </c>
      <c r="O4" s="82" t="s">
        <v>54</v>
      </c>
      <c r="P4" s="82" t="s">
        <v>55</v>
      </c>
      <c r="Q4" s="82" t="s">
        <v>56</v>
      </c>
      <c r="R4" s="82" t="s">
        <v>57</v>
      </c>
      <c r="S4" s="82" t="s">
        <v>58</v>
      </c>
      <c r="T4" s="83" t="s">
        <v>59</v>
      </c>
      <c r="U4" s="82" t="s">
        <v>60</v>
      </c>
      <c r="V4" s="82" t="s">
        <v>134</v>
      </c>
      <c r="W4" s="298" t="s">
        <v>135</v>
      </c>
      <c r="X4" s="82" t="s">
        <v>63</v>
      </c>
      <c r="Y4" s="82" t="s">
        <v>28</v>
      </c>
      <c r="Z4" s="82" t="s">
        <v>64</v>
      </c>
      <c r="AA4" s="82" t="s">
        <v>65</v>
      </c>
      <c r="AB4" s="84" t="s">
        <v>66</v>
      </c>
      <c r="AC4" s="85" t="s">
        <v>67</v>
      </c>
      <c r="AD4" s="86"/>
      <c r="AE4" s="86"/>
      <c r="AF4" s="86"/>
      <c r="AG4" s="86"/>
      <c r="AH4" s="86"/>
      <c r="AI4" s="86"/>
      <c r="AJ4" s="86"/>
      <c r="AK4" s="87"/>
      <c r="AL4" s="86"/>
      <c r="AM4" s="86"/>
      <c r="AN4" s="86"/>
      <c r="AO4" s="86"/>
      <c r="AP4" s="86"/>
      <c r="AU4" s="89"/>
    </row>
    <row r="5" spans="1:42" ht="24" customHeight="1">
      <c r="A5" s="90">
        <f>COUNTIF(N5:N19,"E")</f>
        <v>1</v>
      </c>
      <c r="B5" s="90">
        <v>1</v>
      </c>
      <c r="C5" s="91" t="s">
        <v>68</v>
      </c>
      <c r="D5" s="92">
        <v>56</v>
      </c>
      <c r="E5" s="93"/>
      <c r="F5" s="94">
        <v>0</v>
      </c>
      <c r="G5" s="95"/>
      <c r="H5" s="96" t="s">
        <v>70</v>
      </c>
      <c r="I5" s="97" t="s">
        <v>71</v>
      </c>
      <c r="J5" s="98"/>
      <c r="K5" s="99">
        <v>2.6</v>
      </c>
      <c r="L5" s="99">
        <v>7.6</v>
      </c>
      <c r="M5" s="99">
        <v>1</v>
      </c>
      <c r="N5" s="100" t="s">
        <v>77</v>
      </c>
      <c r="O5" s="101"/>
      <c r="P5" s="102">
        <v>40.5</v>
      </c>
      <c r="Q5" s="103">
        <f>IF(P5&gt;0,(P5*K5),"")</f>
        <v>105.3</v>
      </c>
      <c r="R5" s="103">
        <f>IF(N5&lt;&gt;"",Q5*DATI!$E$13-S5,"0,00")</f>
        <v>89.505</v>
      </c>
      <c r="S5" s="102">
        <v>0</v>
      </c>
      <c r="T5" s="104">
        <f>IF(OR(R5&gt;0,S5&gt;0),(R5+S5*0.6),"")</f>
        <v>89.505</v>
      </c>
      <c r="U5" s="105" t="str">
        <f>IF($A$5&gt;0," ",IF(AND(N5="A",F5&gt;0),(9687.52)*F5,IF(AND($A$5=0,C5="S",N5="A",F5=1),9687.52," ")))</f>
        <v> </v>
      </c>
      <c r="V5" s="106" t="str">
        <f>IF(AND(N5="A",F5&gt;=0,C5="s",$A$5&gt;0),9687.52*F5+114.01*Q5," ")</f>
        <v> </v>
      </c>
      <c r="W5" s="107" t="str">
        <f>IF(AND(OR(N5="B",N5="C"),$A$5=0,$C$5="N"),116.25*Q5+'DATI (2)'!$E$4*Q5,IF(AND(OR(N5="B",N5="C"),$A$5=0,$C$5="S"),114.01*Q5+'DATI (2)'!$E$4*Q5," "))</f>
        <v> </v>
      </c>
      <c r="X5" s="106" t="str">
        <f>IF(AND(OR(N5="B",N5="C"),C5="s",$A$5&gt;0),114.01*1.3*Q5+1.3*'DATI (2)'!$E$4*Q5," ")</f>
        <v> </v>
      </c>
      <c r="Y5" s="106">
        <f>IF(N5="E",IF(M5=1,'DATI (2)'!$E$7*T5,IF(M5=2,'DATI (2)'!$E$8*T5,IF(M5=3,'DATI (2)'!$E$9*T5)))*B5," ")</f>
        <v>114265.66320000001</v>
      </c>
      <c r="Z5" s="108"/>
      <c r="AA5" s="109">
        <f>IF(Z5="X",'DATI (2)'!$E$5*P5*L5,"")</f>
      </c>
      <c r="AB5" s="110">
        <f>IF(G5="X",-SUM(U5:Y5)*'DATI (2)'!$E$15,"")</f>
      </c>
      <c r="AC5" s="111">
        <f>SUM(U5:AB5)</f>
        <v>114265.66320000001</v>
      </c>
      <c r="AD5" s="71"/>
      <c r="AE5" s="71"/>
      <c r="AF5" s="71"/>
      <c r="AG5" s="71"/>
      <c r="AH5" s="71"/>
      <c r="AI5" s="71"/>
      <c r="AJ5" s="71"/>
      <c r="AK5" s="112"/>
      <c r="AL5" s="71"/>
      <c r="AM5" s="71"/>
      <c r="AN5" s="71"/>
      <c r="AO5" s="71"/>
      <c r="AP5" s="71"/>
    </row>
    <row r="6" spans="1:42" ht="19.5" customHeight="1">
      <c r="A6" s="113"/>
      <c r="B6" s="90">
        <v>1</v>
      </c>
      <c r="C6" s="91" t="s">
        <v>68</v>
      </c>
      <c r="D6" s="114"/>
      <c r="E6" s="115"/>
      <c r="F6" s="116"/>
      <c r="G6" s="117"/>
      <c r="H6" s="118"/>
      <c r="I6" s="119"/>
      <c r="J6" s="120"/>
      <c r="K6" s="121"/>
      <c r="L6" s="121"/>
      <c r="M6" s="121"/>
      <c r="N6" s="122"/>
      <c r="O6" s="123"/>
      <c r="P6" s="124"/>
      <c r="Q6" s="125"/>
      <c r="R6" s="125"/>
      <c r="S6" s="124"/>
      <c r="T6" s="126"/>
      <c r="U6" s="127" t="str">
        <f>IF($A$5&gt;0," ",IF(AND(N6="A",F6&gt;0),(9687.52)*F6,IF(AND($A$5=0,C6="S",N6="A",F6=1),9687.52," ")))</f>
        <v> </v>
      </c>
      <c r="V6" s="128" t="str">
        <f>IF(AND(N6="A",F6&gt;=0,C6="s",$A$5&gt;0),9687.52*F6+114.01*Q6," ")</f>
        <v> </v>
      </c>
      <c r="W6" s="129" t="str">
        <f>IF(AND(OR(N6="B",N6="C"),$A$5=0,$C$5="N"),116.25*Q6+'DATI (2)'!$E$4*Q6,IF(AND(OR(N6="B",N6="C"),$A$5=0,$C$5="S"),114.01*Q6+'DATI (2)'!$E$4*Q6," "))</f>
        <v> </v>
      </c>
      <c r="X6" s="128" t="str">
        <f>IF(AND(OR(N6="B",N6="C"),C6="s",$A$5&gt;0),114.01*1.3*Q6+1.3*'DATI (2)'!$E$4*Q6," ")</f>
        <v> </v>
      </c>
      <c r="Y6" s="128" t="str">
        <f>IF(N6="E",IF(M6=1,'DATI (2)'!$E$7*T6,IF(M6=2,'DATI (2)'!$E$8*T6,IF(M6=3,'DATI (2)'!$E$9*T6)))*B6," ")</f>
        <v> </v>
      </c>
      <c r="Z6" s="130"/>
      <c r="AA6" s="131">
        <f>IF(Z6="X",'DATI (2)'!$E$5*P6*L6,"")</f>
      </c>
      <c r="AB6" s="132">
        <f>IF(G6="X",-SUM(U6:Y6)*'DATI (2)'!$E$15,"")</f>
      </c>
      <c r="AC6" s="133">
        <f>SUM(U6:AB6)</f>
        <v>0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42" ht="19.5" customHeight="1">
      <c r="A7" s="113"/>
      <c r="B7" s="90">
        <v>1</v>
      </c>
      <c r="C7" s="91" t="s">
        <v>68</v>
      </c>
      <c r="D7" s="134"/>
      <c r="E7" s="135"/>
      <c r="F7" s="136"/>
      <c r="G7" s="137"/>
      <c r="H7" s="138"/>
      <c r="I7" s="138"/>
      <c r="J7" s="139"/>
      <c r="K7" s="140"/>
      <c r="L7" s="140"/>
      <c r="M7" s="140"/>
      <c r="N7" s="141"/>
      <c r="O7" s="142"/>
      <c r="P7" s="143"/>
      <c r="Q7" s="125"/>
      <c r="R7" s="125"/>
      <c r="S7" s="143"/>
      <c r="T7" s="126"/>
      <c r="U7" s="144" t="str">
        <f>IF($A$5&gt;0," ",IF(AND(N7="A",F7&gt;0),(9687.52)*F7,IF(AND($A$5=0,C7="S",N7="A",F7=1),9687.52," ")))</f>
        <v> </v>
      </c>
      <c r="V7" s="128" t="str">
        <f>IF(AND(N7="A",F7&gt;=0,C7="s",$A$5&gt;0),9687.52*F7+114.01*Q7," ")</f>
        <v> </v>
      </c>
      <c r="W7" s="145" t="str">
        <f>IF(AND(OR(N7="B",N7="C"),$A$5=0,$C$5="N"),116.25*Q7+'DATI (2)'!$E$4*Q7,IF(AND(OR(N7="B",N7="C"),$A$5=0,$C$5="S"),114.01*Q7+'DATI (2)'!$E$4*Q7," "))</f>
        <v> </v>
      </c>
      <c r="X7" s="128" t="str">
        <f>IF(AND(OR(N7="B",N7="C"),C7="s",$A$5&gt;0),114.01*1.3*Q7+1.3*'DATI (2)'!$E$4*Q7," ")</f>
        <v> </v>
      </c>
      <c r="Y7" s="128" t="str">
        <f>IF(N7="E",IF(M7=1,'DATI (2)'!$E$7*T7,IF(M7=2,'DATI (2)'!$E$8*T7,IF(M7=3,'DATI (2)'!$E$9*T7)))*B7," ")</f>
        <v> </v>
      </c>
      <c r="Z7" s="130"/>
      <c r="AA7" s="131">
        <f>IF(Z7="X",'DATI (2)'!$E$5*P7*L7,"")</f>
      </c>
      <c r="AB7" s="132">
        <f>IF(G7="X",-SUM(U7:Y7)*'DATI (2)'!$E$15,"")</f>
      </c>
      <c r="AC7" s="133">
        <f>SUM(U7:AB7)</f>
        <v>0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spans="1:42" ht="27" customHeight="1">
      <c r="A8" s="113"/>
      <c r="B8" s="90">
        <v>1</v>
      </c>
      <c r="C8" s="91" t="s">
        <v>68</v>
      </c>
      <c r="D8" s="134"/>
      <c r="E8" s="135"/>
      <c r="F8" s="136"/>
      <c r="G8" s="137"/>
      <c r="H8" s="118"/>
      <c r="I8" s="138"/>
      <c r="J8" s="139"/>
      <c r="K8" s="140"/>
      <c r="L8" s="140"/>
      <c r="M8" s="140"/>
      <c r="N8" s="141"/>
      <c r="O8" s="142"/>
      <c r="P8" s="143"/>
      <c r="Q8" s="125"/>
      <c r="R8" s="125"/>
      <c r="S8" s="143"/>
      <c r="T8" s="126"/>
      <c r="U8" s="144" t="str">
        <f>IF($A$5&gt;0," ",IF(AND(N8="A",F8&gt;0),(9687.52)*F8,IF(AND($A$5=0,C8="S",N8="A",F8=1),9687.52," ")))</f>
        <v> </v>
      </c>
      <c r="V8" s="128" t="str">
        <f>IF(AND(N8="A",F8&gt;=0,C8="s",$A$5&gt;0),9687.52*F8+114.01*Q8," ")</f>
        <v> </v>
      </c>
      <c r="W8" s="145" t="str">
        <f>IF(AND(OR(N8="B",N8="C"),$A$5=0,$C$5="N"),116.25*Q8+'DATI (2)'!$E$4*Q8,IF(AND(OR(N8="B",N8="C"),$A$5=0,$C$5="S"),114.01*Q8+'DATI (2)'!$E$4*Q8," "))</f>
        <v> </v>
      </c>
      <c r="X8" s="128" t="str">
        <f>IF(AND(OR(N8="B",N8="C"),C8="s",$A$5&gt;0),114.01*1.3*Q8+1.3*'DATI (2)'!$E$4*Q8," ")</f>
        <v> </v>
      </c>
      <c r="Y8" s="128" t="str">
        <f>IF(N8="E",IF(M8=1,'DATI (2)'!$E$7*T8,IF(M8=2,'DATI (2)'!$E$8*T8,IF(M8=3,'DATI (2)'!$E$9*T8)))*B8," ")</f>
        <v> </v>
      </c>
      <c r="Z8" s="130"/>
      <c r="AA8" s="131">
        <f>IF(Z8="X",'DATI (2)'!$E$5*P8*L8,"")</f>
      </c>
      <c r="AB8" s="132">
        <f>IF(G8="X",-SUM(U8:Y8)*'DATI (2)'!$E$15,"")</f>
      </c>
      <c r="AC8" s="133">
        <f>SUM(U8:AB8)</f>
        <v>0</v>
      </c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1:42" ht="21" customHeight="1">
      <c r="A9" s="113"/>
      <c r="B9" s="90">
        <v>1</v>
      </c>
      <c r="C9" s="91" t="s">
        <v>68</v>
      </c>
      <c r="D9" s="134"/>
      <c r="E9" s="135"/>
      <c r="F9" s="136"/>
      <c r="G9" s="137"/>
      <c r="H9" s="118"/>
      <c r="I9" s="138"/>
      <c r="J9" s="139"/>
      <c r="K9" s="140"/>
      <c r="L9" s="140"/>
      <c r="M9" s="140"/>
      <c r="N9" s="141"/>
      <c r="O9" s="142"/>
      <c r="P9" s="146"/>
      <c r="Q9" s="125"/>
      <c r="R9" s="125"/>
      <c r="S9" s="143"/>
      <c r="T9" s="126"/>
      <c r="U9" s="144" t="str">
        <f>IF($A$5&gt;0," ",IF(AND(N9="A",F9&gt;0),(9687.52)*F9,IF(AND($A$5=0,C9="S",N9="A",F9=1),9687.52," ")))</f>
        <v> </v>
      </c>
      <c r="V9" s="128" t="str">
        <f>IF(AND(N9="A",F9&gt;=0,C9="s",$A$5&gt;0),9687.52*F9+114.01*Q9," ")</f>
        <v> </v>
      </c>
      <c r="W9" s="145" t="str">
        <f>IF(AND(OR(N9="B",N9="C"),$A$5=0,$C$5="N"),116.25*Q9+'DATI (2)'!$E$4*Q9,IF(AND(OR(N9="B",N9="C"),$A$5=0,$C$5="S"),114.01*Q9+'DATI (2)'!$E$4*Q9," "))</f>
        <v> </v>
      </c>
      <c r="X9" s="128" t="str">
        <f>IF(AND(OR(N9="B",N9="C"),C9="s",$A$5&gt;0),114.01*1.3*Q9+1.3*'DATI (2)'!$E$4*Q9," ")</f>
        <v> </v>
      </c>
      <c r="Y9" s="128" t="str">
        <f>IF(N9="E",IF(M9=1,'DATI (2)'!$E$7*T9,IF(M9=2,'DATI (2)'!$E$8*T9,IF(M9=3,'DATI (2)'!$E$9*T9)))*B9," ")</f>
        <v> </v>
      </c>
      <c r="Z9" s="130"/>
      <c r="AA9" s="131">
        <f>IF(Z9="X",'DATI (2)'!$E$5*P9*L9,"")</f>
      </c>
      <c r="AB9" s="132">
        <f>IF(G9="X",-SUM(U9:Y9)*'DATI (2)'!$E$15,"")</f>
      </c>
      <c r="AC9" s="133">
        <f>SUM(U9:AB9)</f>
        <v>0</v>
      </c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ht="19.5" customHeight="1">
      <c r="A10" s="113"/>
      <c r="B10" s="90">
        <v>1</v>
      </c>
      <c r="C10" s="91" t="s">
        <v>68</v>
      </c>
      <c r="D10" s="134"/>
      <c r="E10" s="135"/>
      <c r="F10" s="136"/>
      <c r="G10" s="137"/>
      <c r="H10" s="118"/>
      <c r="I10" s="138"/>
      <c r="J10" s="139"/>
      <c r="K10" s="140"/>
      <c r="L10" s="140"/>
      <c r="M10" s="140"/>
      <c r="N10" s="141"/>
      <c r="O10" s="142"/>
      <c r="P10" s="146"/>
      <c r="Q10" s="125"/>
      <c r="R10" s="125"/>
      <c r="S10" s="143"/>
      <c r="T10" s="126"/>
      <c r="U10" s="144" t="str">
        <f>IF($A$5&gt;0," ",IF(AND(N10="A",F10&gt;0),(9687.52)*F10,IF(AND($A$5=0,C10="S",N10="A",F10=1),9687.52," ")))</f>
        <v> </v>
      </c>
      <c r="V10" s="128" t="str">
        <f>IF(AND(N10="A",F10&gt;=0,C10="s",$A$5&gt;0),9687.52*F10+114.01*Q10," ")</f>
        <v> </v>
      </c>
      <c r="W10" s="145" t="str">
        <f>IF(AND(OR(N10="B",N10="C"),$A$5=0,$C$5="N"),116.25*Q10+'DATI (2)'!$E$4*Q10,IF(AND(OR(N10="B",N10="C"),$A$5=0,$C$5="S"),114.01*Q10+'DATI (2)'!$E$4*Q10," "))</f>
        <v> </v>
      </c>
      <c r="X10" s="128" t="str">
        <f>IF(AND(OR(N10="B",N10="C"),C10="s",$A$5&gt;0),114.01*1.3*Q10+1.3*'DATI (2)'!$E$4*Q10," ")</f>
        <v> </v>
      </c>
      <c r="Y10" s="128" t="str">
        <f>IF(N10="E",IF(M10=1,'DATI (2)'!$E$7*T10,IF(M10=2,'DATI (2)'!$E$8*T10,IF(M10=3,'DATI (2)'!$E$9*T10)))*B10," ")</f>
        <v> </v>
      </c>
      <c r="Z10" s="130"/>
      <c r="AA10" s="131">
        <f>IF(Z10="X",'DATI (2)'!$E$5*P10*L10,"")</f>
      </c>
      <c r="AB10" s="132">
        <f>IF(G10="X",-SUM(U10:Y10)*'DATI (2)'!$E$15,"")</f>
      </c>
      <c r="AC10" s="133">
        <f>SUM(U10:AB10)</f>
        <v>0</v>
      </c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ht="18" customHeight="1">
      <c r="A11" s="113"/>
      <c r="B11" s="90">
        <v>1</v>
      </c>
      <c r="C11" s="91" t="s">
        <v>68</v>
      </c>
      <c r="D11" s="134"/>
      <c r="E11" s="135"/>
      <c r="F11" s="136"/>
      <c r="G11" s="137"/>
      <c r="H11" s="147"/>
      <c r="I11" s="119"/>
      <c r="J11" s="148"/>
      <c r="K11" s="140"/>
      <c r="L11" s="140"/>
      <c r="M11" s="140"/>
      <c r="N11" s="141"/>
      <c r="O11" s="142"/>
      <c r="P11" s="146"/>
      <c r="Q11" s="149"/>
      <c r="R11" s="149"/>
      <c r="S11" s="143"/>
      <c r="T11" s="150"/>
      <c r="U11" s="144" t="str">
        <f>IF($A$5&gt;0," ",IF(AND(N11="A",F11&gt;0),(9687.52)*F11,IF(AND($A$5=0,C11="S",N11="A",F11=1),9687.52," ")))</f>
        <v> </v>
      </c>
      <c r="V11" s="128" t="str">
        <f>IF(AND(N11="A",F11&gt;=0,C11="s",$A$5&gt;0),9687.52*F11+114.01*Q11," ")</f>
        <v> </v>
      </c>
      <c r="W11" s="145" t="str">
        <f>IF(AND(OR(N11="B",N11="C"),$A$5=0,$C$5="N"),116.25*Q11+'DATI (2)'!$E$4*Q11,IF(AND(OR(N11="B",N11="C"),$A$5=0,$C$5="S"),114.01*Q11+'DATI (2)'!$E$4*Q11," "))</f>
        <v> </v>
      </c>
      <c r="X11" s="128" t="str">
        <f>IF(AND(OR(N11="B",N11="C"),C11="s",$A$5&gt;0),114.01*1.3*Q11+1.3*'DATI (2)'!$E$4*Q11," ")</f>
        <v> </v>
      </c>
      <c r="Y11" s="128" t="str">
        <f>IF(N11="E",IF(M11=1,'DATI (2)'!$E$7*T11,IF(M11=2,'DATI (2)'!$E$8*T11,IF(M11=3,'DATI (2)'!$E$9*T11)))*B11," ")</f>
        <v> </v>
      </c>
      <c r="Z11" s="130"/>
      <c r="AA11" s="131">
        <f>IF(Z11="X",'DATI (2)'!$E$5*P11*L11,"")</f>
      </c>
      <c r="AB11" s="132">
        <f>IF(G11="X",-SUM(U11:Y11)*'DATI (2)'!$E$15,"")</f>
      </c>
      <c r="AC11" s="133">
        <f>SUM(U11:AB11)</f>
        <v>0</v>
      </c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ht="19.5" customHeight="1">
      <c r="A12" s="113"/>
      <c r="B12" s="90">
        <v>1</v>
      </c>
      <c r="C12" s="91" t="s">
        <v>68</v>
      </c>
      <c r="D12" s="134"/>
      <c r="E12" s="135"/>
      <c r="F12" s="136"/>
      <c r="G12" s="137"/>
      <c r="H12" s="118"/>
      <c r="I12" s="138"/>
      <c r="J12" s="148"/>
      <c r="K12" s="140"/>
      <c r="L12" s="140"/>
      <c r="M12" s="140"/>
      <c r="N12" s="141"/>
      <c r="O12" s="142"/>
      <c r="P12" s="143"/>
      <c r="Q12" s="149"/>
      <c r="R12" s="149"/>
      <c r="S12" s="143"/>
      <c r="T12" s="150"/>
      <c r="U12" s="144" t="str">
        <f>IF($A$5&gt;0," ",IF(AND(N12="A",F12&gt;0),(9687.52)*F12,IF(AND($A$5=0,C12="S",N12="A",F12=1),9687.52," ")))</f>
        <v> </v>
      </c>
      <c r="V12" s="128" t="str">
        <f>IF(AND(N12="A",F12&gt;=0,C12="s",$A$5&gt;0),9687.52*F12+114.01*Q12," ")</f>
        <v> </v>
      </c>
      <c r="W12" s="145" t="str">
        <f>IF(AND(OR(N12="B",N12="C"),$A$5=0,$C$5="N"),116.25*Q12+'DATI (2)'!$E$4*Q12,IF(AND(OR(N12="B",N12="C"),$A$5=0,$C$5="S"),114.01*Q12+'DATI (2)'!$E$4*Q12," "))</f>
        <v> </v>
      </c>
      <c r="X12" s="128" t="str">
        <f>IF(AND(OR(N12="B",N12="C"),C12="s",$A$5&gt;0),114.01*1.3*Q12+1.3*'DATI (2)'!$E$4*Q12," ")</f>
        <v> </v>
      </c>
      <c r="Y12" s="128" t="str">
        <f>IF(N12="E",IF(M12=1,'DATI (2)'!$E$7*T12,IF(M12=2,'DATI (2)'!$E$8*T12,IF(M12=3,'DATI (2)'!$E$9*T12)))*B12," ")</f>
        <v> </v>
      </c>
      <c r="Z12" s="130"/>
      <c r="AA12" s="131">
        <f>IF(Z12="X",'DATI (2)'!$E$5*P12*L12,"")</f>
      </c>
      <c r="AB12" s="132">
        <f>IF(G12="X",-SUM(U12:Y12)*'DATI (2)'!$E$15,"")</f>
      </c>
      <c r="AC12" s="133">
        <f>SUM(U12:AB12)</f>
        <v>0</v>
      </c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ht="19.5" customHeight="1">
      <c r="A13" s="113"/>
      <c r="B13" s="90">
        <v>1</v>
      </c>
      <c r="C13" s="91" t="s">
        <v>68</v>
      </c>
      <c r="D13" s="134"/>
      <c r="E13" s="135"/>
      <c r="F13" s="136"/>
      <c r="G13" s="137"/>
      <c r="H13" s="138"/>
      <c r="I13" s="138"/>
      <c r="J13" s="148"/>
      <c r="K13" s="140"/>
      <c r="L13" s="140"/>
      <c r="M13" s="140"/>
      <c r="N13" s="141"/>
      <c r="O13" s="142"/>
      <c r="P13" s="146"/>
      <c r="Q13" s="149"/>
      <c r="R13" s="149"/>
      <c r="S13" s="143"/>
      <c r="T13" s="150"/>
      <c r="U13" s="144" t="str">
        <f>IF($A$5&gt;0," ",IF(AND(N13="A",F13&gt;0),(9687.52)*F13,IF(AND($A$5=0,C13="S",N13="A",F13=1),9687.52," ")))</f>
        <v> </v>
      </c>
      <c r="V13" s="128" t="str">
        <f>IF(AND(N13="A",F13&gt;=0,C13="s",$A$5&gt;0),9687.52*F13+114.01*Q13," ")</f>
        <v> </v>
      </c>
      <c r="W13" s="145" t="str">
        <f>IF(AND(OR(N13="B",N13="C"),$A$5=0,$C$5="N"),116.25*Q13+'DATI (2)'!$E$4*Q13,IF(AND(OR(N13="B",N13="C"),$A$5=0,$C$5="S"),114.01*Q13+'DATI (2)'!$E$4*Q13," "))</f>
        <v> </v>
      </c>
      <c r="X13" s="128" t="str">
        <f>IF(AND(OR(N13="B",N13="C"),C13="s",$A$5&gt;0),114.01*1.3*Q13+1.3*'DATI (2)'!$E$4*Q13," ")</f>
        <v> </v>
      </c>
      <c r="Y13" s="128" t="str">
        <f>IF(N13="E",IF(M13=1,'DATI (2)'!$E$7*T13,IF(M13=2,'DATI (2)'!$E$8*T13,IF(M13=3,'DATI (2)'!$E$9*T13)))*B13," ")</f>
        <v> </v>
      </c>
      <c r="Z13" s="130"/>
      <c r="AA13" s="131">
        <f>IF(Z13="X",'DATI (2)'!$E$5*P13*L13,"")</f>
      </c>
      <c r="AB13" s="132">
        <f>IF(G13="X",-SUM(U13:Y13)*'DATI (2)'!$E$15,"")</f>
      </c>
      <c r="AC13" s="133">
        <f>SUM(U13:AB13)</f>
        <v>0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ht="12.75">
      <c r="A14" s="113"/>
      <c r="B14" s="90">
        <v>1</v>
      </c>
      <c r="C14" s="91" t="s">
        <v>68</v>
      </c>
      <c r="D14" s="134"/>
      <c r="E14" s="135"/>
      <c r="F14" s="136"/>
      <c r="G14" s="137"/>
      <c r="H14" s="147"/>
      <c r="I14" s="119"/>
      <c r="J14" s="148"/>
      <c r="K14" s="140"/>
      <c r="L14" s="140"/>
      <c r="M14" s="140"/>
      <c r="N14" s="141"/>
      <c r="O14" s="142"/>
      <c r="P14" s="146"/>
      <c r="Q14" s="149"/>
      <c r="R14" s="149"/>
      <c r="S14" s="143"/>
      <c r="T14" s="150"/>
      <c r="U14" s="144" t="str">
        <f>IF($A$5&gt;0," ",IF(AND(N14="A",F14&gt;0),(9687.52)*F14,IF(AND($A$5=0,C14="S",N14="A",F14=1),9687.52," ")))</f>
        <v> </v>
      </c>
      <c r="V14" s="128" t="str">
        <f>IF(AND(N14="A",F14&gt;=0,C14="s",$A$5&gt;0),9687.52*F14+114.01*Q14," ")</f>
        <v> </v>
      </c>
      <c r="W14" s="145" t="str">
        <f>IF(AND(OR(N14="B",N14="C"),$A$5=0,$C$5="N"),116.25*Q14+'DATI (2)'!$E$4*Q14,IF(AND(OR(N14="B",N14="C"),$A$5=0,$C$5="S"),114.01*Q14+'DATI (2)'!$E$4*Q14," "))</f>
        <v> </v>
      </c>
      <c r="X14" s="128" t="str">
        <f>IF(AND(OR(N14="B",N14="C"),C14="s",$A$5&gt;0),114.01*1.3*Q14+1.3*'DATI (2)'!$E$4*Q14," ")</f>
        <v> </v>
      </c>
      <c r="Y14" s="128" t="str">
        <f>IF(N14="E",IF(M14=1,'DATI (2)'!$E$7*T14,IF(M14=2,'DATI (2)'!$E$8*T14,IF(M14=3,'DATI (2)'!$E$9*T14)))*B14," ")</f>
        <v> </v>
      </c>
      <c r="Z14" s="130"/>
      <c r="AA14" s="131">
        <f>IF(Z14="X",'DATI (2)'!$E$5*P14*L14,"")</f>
      </c>
      <c r="AB14" s="132">
        <f>IF(G14="X",-SUM(U14:Y14)*'DATI (2)'!$E$15,"")</f>
      </c>
      <c r="AC14" s="133">
        <f>SUM(U14:AB14)</f>
        <v>0</v>
      </c>
      <c r="AD14" s="71"/>
      <c r="AE14" s="71"/>
      <c r="AF14" s="151"/>
      <c r="AG14" s="151"/>
      <c r="AH14" s="151"/>
      <c r="AI14" s="151"/>
      <c r="AJ14" s="151"/>
      <c r="AK14" s="151"/>
      <c r="AL14" s="151"/>
      <c r="AM14" s="71"/>
      <c r="AN14" s="71"/>
      <c r="AO14" s="71"/>
      <c r="AP14" s="71"/>
    </row>
    <row r="15" spans="1:42" ht="21.75" customHeight="1">
      <c r="A15" s="113"/>
      <c r="B15" s="90">
        <v>1</v>
      </c>
      <c r="C15" s="91" t="s">
        <v>68</v>
      </c>
      <c r="D15" s="134"/>
      <c r="E15" s="135"/>
      <c r="F15" s="136"/>
      <c r="G15" s="137"/>
      <c r="H15" s="138"/>
      <c r="I15" s="138"/>
      <c r="J15" s="139"/>
      <c r="K15" s="140"/>
      <c r="L15" s="140"/>
      <c r="M15" s="140"/>
      <c r="N15" s="141"/>
      <c r="O15" s="142"/>
      <c r="P15" s="146"/>
      <c r="Q15" s="149"/>
      <c r="R15" s="149"/>
      <c r="S15" s="143"/>
      <c r="T15" s="150"/>
      <c r="U15" s="144" t="str">
        <f>IF($A$5&gt;0," ",IF(AND(N15="A",F15&gt;0),(9687.52)*F15,IF(AND($A$5=0,C15="S",N15="A",F15=1),9687.52," ")))</f>
        <v> </v>
      </c>
      <c r="V15" s="128" t="str">
        <f>IF(AND(N15="A",F15&gt;=0,C15="s",$A$5&gt;0),9687.52*F15+114.01*Q15," ")</f>
        <v> </v>
      </c>
      <c r="W15" s="145" t="str">
        <f>IF(AND(OR(N15="B",N15="C"),$A$5=0,$C$5="N"),116.25*Q15+'DATI (2)'!$E$4*Q15,IF(AND(OR(N15="B",N15="C"),$A$5=0,$C$5="S"),114.01*Q15+'DATI (2)'!$E$4*Q15," "))</f>
        <v> </v>
      </c>
      <c r="X15" s="128" t="str">
        <f>IF(AND(OR(N15="B",N15="C"),C15="s",$A$5&gt;0),114.01*1.3*Q15+1.3*'DATI (2)'!$E$4*Q15," ")</f>
        <v> </v>
      </c>
      <c r="Y15" s="128" t="str">
        <f>IF(N15="E",IF(M15=1,'DATI (2)'!$E$7*T15,IF(M15=2,'DATI (2)'!$E$8*T15,IF(M15=3,'DATI (2)'!$E$9*T15)))*B15," ")</f>
        <v> </v>
      </c>
      <c r="Z15" s="130"/>
      <c r="AA15" s="131">
        <f>IF(Z15="X",'DATI (2)'!$E$5*P15*L15,"")</f>
      </c>
      <c r="AB15" s="132">
        <f>IF(G15="X",-SUM(U15:Y15)*'DATI (2)'!$E$15,"")</f>
      </c>
      <c r="AC15" s="133">
        <f>SUM(U15:AB15)</f>
        <v>0</v>
      </c>
      <c r="AD15" s="71"/>
      <c r="AE15" s="71"/>
      <c r="AF15" s="151"/>
      <c r="AG15" s="151"/>
      <c r="AH15" s="151"/>
      <c r="AI15" s="151"/>
      <c r="AJ15" s="151"/>
      <c r="AK15" s="151"/>
      <c r="AL15" s="151"/>
      <c r="AM15" s="71"/>
      <c r="AN15" s="71"/>
      <c r="AO15" s="71"/>
      <c r="AP15" s="71"/>
    </row>
    <row r="16" spans="1:42" ht="19.5" customHeight="1">
      <c r="A16" s="113"/>
      <c r="B16" s="90">
        <v>1</v>
      </c>
      <c r="C16" s="91" t="s">
        <v>68</v>
      </c>
      <c r="D16" s="134"/>
      <c r="E16" s="135"/>
      <c r="F16" s="136"/>
      <c r="G16" s="137"/>
      <c r="H16" s="118"/>
      <c r="I16" s="119"/>
      <c r="J16" s="139"/>
      <c r="K16" s="140"/>
      <c r="L16" s="140"/>
      <c r="M16" s="140"/>
      <c r="N16" s="141"/>
      <c r="O16" s="142"/>
      <c r="P16" s="146"/>
      <c r="Q16" s="149"/>
      <c r="R16" s="149"/>
      <c r="S16" s="124"/>
      <c r="T16" s="150"/>
      <c r="U16" s="144" t="str">
        <f>IF($A$5&gt;0," ",IF(AND(N16="A",F16&gt;0),(9687.52)*F16,IF(AND($A$5=0,C16="S",N16="A",F16=1),9687.52," ")))</f>
        <v> </v>
      </c>
      <c r="V16" s="128" t="str">
        <f>IF(AND(N16="A",F16&gt;=0,C16="s",$A$5&gt;0),9687.52*F16+114.01*Q16," ")</f>
        <v> </v>
      </c>
      <c r="W16" s="145" t="str">
        <f>IF(AND(OR(N16="B",N16="C"),$A$5=0,$C$5="N"),116.25*Q16+'DATI (2)'!$E$4*Q16,IF(AND(OR(N16="B",N16="C"),$A$5=0,$C$5="S"),114.01*Q16+'DATI (2)'!$E$4*Q16," "))</f>
        <v> </v>
      </c>
      <c r="X16" s="128" t="str">
        <f>IF(AND(OR(N16="B",N16="C"),C16="s",$A$5&gt;0),114.01*1.3*Q16+1.3*'DATI (2)'!$E$4*Q16," ")</f>
        <v> </v>
      </c>
      <c r="Y16" s="128" t="str">
        <f>IF(N16="E",IF(M16=1,'DATI (2)'!$E$7*T16,IF(M16=2,'DATI (2)'!$E$8*T16,IF(M16=3,'DATI (2)'!$E$9*T16)))*B16," ")</f>
        <v> </v>
      </c>
      <c r="Z16" s="130"/>
      <c r="AA16" s="131">
        <f>IF(Z16="X",'DATI (2)'!$E$5*P16*L16,"")</f>
      </c>
      <c r="AB16" s="132">
        <f>IF(G16="X",-SUM(U16:Y16)*'DATI (2)'!$E$15,"")</f>
      </c>
      <c r="AC16" s="133">
        <f>SUM(U16:AB16)</f>
        <v>0</v>
      </c>
      <c r="AD16" s="71"/>
      <c r="AE16" s="71"/>
      <c r="AF16" s="151"/>
      <c r="AG16" s="151"/>
      <c r="AH16" s="151"/>
      <c r="AI16" s="151"/>
      <c r="AJ16" s="151"/>
      <c r="AK16" s="151"/>
      <c r="AL16" s="151"/>
      <c r="AM16" s="71"/>
      <c r="AN16" s="71"/>
      <c r="AO16" s="71"/>
      <c r="AP16" s="71"/>
    </row>
    <row r="17" spans="1:42" ht="19.5" customHeight="1">
      <c r="A17" s="113"/>
      <c r="B17" s="113"/>
      <c r="C17" s="91"/>
      <c r="D17" s="152"/>
      <c r="E17" s="153"/>
      <c r="F17" s="136"/>
      <c r="G17" s="154"/>
      <c r="H17" s="155"/>
      <c r="I17" s="156"/>
      <c r="J17" s="140"/>
      <c r="K17" s="140"/>
      <c r="L17" s="140"/>
      <c r="M17" s="140"/>
      <c r="N17" s="141"/>
      <c r="O17" s="157"/>
      <c r="P17" s="146"/>
      <c r="Q17" s="149"/>
      <c r="R17" s="149"/>
      <c r="S17" s="143"/>
      <c r="T17" s="150"/>
      <c r="U17" s="144" t="str">
        <f>IF($A$5&gt;0," ",IF(AND(N17="A",F17&gt;0),(9687.52)*F17,IF(AND($A$5=0,C17="S",N17="A",F17=1),9687.52," ")))</f>
        <v> </v>
      </c>
      <c r="V17" s="128" t="str">
        <f>IF(AND(N17="A",F17&gt;=0,C17="s",$A$5&gt;0),9687.52*F17+114.01*Q17," ")</f>
        <v> </v>
      </c>
      <c r="W17" s="145" t="str">
        <f>IF(AND(OR(N17="B",N17="C"),$A$5=0,$C$5="N"),116.25*Q17+'DATI (2)'!$E$4*Q17,IF(AND(OR(N17="B",N17="C"),$A$5=0,$C$5="S"),114.01*Q17+'DATI (2)'!$E$4*Q17," "))</f>
        <v> </v>
      </c>
      <c r="X17" s="128" t="str">
        <f>IF(AND(OR(N17="B",N17="C"),C17="s",$A$5&gt;0),114.01*1.3*Q17+1.3*'DATI (2)'!$E$4*Q17," ")</f>
        <v> </v>
      </c>
      <c r="Y17" s="128" t="str">
        <f>IF(N17="E",IF(M17=1,'DATI (2)'!$E$7*T17,IF(M17=2,'DATI (2)'!$E$8*T17,IF(M17=3,'DATI (2)'!$E$9*T17)))*B17," ")</f>
        <v> </v>
      </c>
      <c r="Z17" s="130"/>
      <c r="AA17" s="131">
        <f>IF(Z17="X",'DATI (2)'!$E$5*P17*L17,"")</f>
      </c>
      <c r="AB17" s="132">
        <f>IF(G17="X",-SUM(U17:Y17)*'DATI (2)'!$E$15,"")</f>
      </c>
      <c r="AC17" s="133">
        <f>SUM(U17:AB17)</f>
        <v>0</v>
      </c>
      <c r="AD17" s="71"/>
      <c r="AE17" s="71"/>
      <c r="AF17" s="151"/>
      <c r="AG17" s="151"/>
      <c r="AH17" s="151"/>
      <c r="AI17" s="151"/>
      <c r="AJ17" s="151"/>
      <c r="AK17" s="151"/>
      <c r="AL17" s="151"/>
      <c r="AM17" s="71"/>
      <c r="AN17" s="71"/>
      <c r="AO17" s="71"/>
      <c r="AP17" s="71"/>
    </row>
    <row r="18" spans="1:42" ht="19.5" customHeight="1">
      <c r="A18" s="113"/>
      <c r="B18" s="113"/>
      <c r="C18" s="91"/>
      <c r="D18" s="152"/>
      <c r="E18" s="156"/>
      <c r="F18" s="136"/>
      <c r="G18" s="154"/>
      <c r="H18" s="155"/>
      <c r="I18" s="156"/>
      <c r="J18" s="140"/>
      <c r="K18" s="140"/>
      <c r="L18" s="140"/>
      <c r="M18" s="140"/>
      <c r="N18" s="141"/>
      <c r="O18" s="158"/>
      <c r="P18" s="146"/>
      <c r="Q18" s="149"/>
      <c r="R18" s="149"/>
      <c r="S18" s="143"/>
      <c r="T18" s="150"/>
      <c r="U18" s="144" t="str">
        <f>IF($A$5&gt;0," ",IF(AND(N18="A",F18&gt;0),(9687.52)*F18,IF(AND($A$5=0,C18="S",N18="A",F18=1),9687.52," ")))</f>
        <v> </v>
      </c>
      <c r="V18" s="128" t="str">
        <f>IF(AND(N18="A",F18&gt;=0,C18="s",$A$5&gt;0),9687.52*F18+114.01*Q18," ")</f>
        <v> </v>
      </c>
      <c r="W18" s="145" t="str">
        <f>IF(AND(OR(N18="B",N18="C"),$A$5=0,$C$5="N"),116.25*Q18+'DATI (2)'!$E$4*Q18,IF(AND(OR(N18="B",N18="C"),$A$5=0,$C$5="S"),114.01*Q18+'DATI (2)'!$E$4*Q18," "))</f>
        <v> </v>
      </c>
      <c r="X18" s="128" t="str">
        <f>IF(AND(OR(N18="B",N18="C"),C18="s",$A$5&gt;0),114.01*1.3*Q18+1.3*'DATI (2)'!$E$4*Q18," ")</f>
        <v> </v>
      </c>
      <c r="Y18" s="128" t="str">
        <f>IF(N18="E",IF(M18=1,'DATI (2)'!$E$7*T18,IF(M18=2,'DATI (2)'!$E$8*T18,IF(M18=3,'DATI (2)'!$E$9*T18)))*B18," ")</f>
        <v> </v>
      </c>
      <c r="Z18" s="130"/>
      <c r="AA18" s="131">
        <f>IF(Z18="X",'DATI (2)'!$E$5*P18*L18,"")</f>
      </c>
      <c r="AB18" s="132">
        <f>IF(G18="X",-SUM(U18:Y18)*'DATI (2)'!$E$15,"")</f>
      </c>
      <c r="AC18" s="133">
        <f>SUM(U18:AB18)</f>
        <v>0</v>
      </c>
      <c r="AD18" s="71"/>
      <c r="AE18" s="71"/>
      <c r="AF18" s="151"/>
      <c r="AG18" s="151"/>
      <c r="AH18" s="159"/>
      <c r="AI18" s="151"/>
      <c r="AJ18" s="151"/>
      <c r="AK18" s="151"/>
      <c r="AL18" s="151"/>
      <c r="AM18" s="71"/>
      <c r="AN18" s="71"/>
      <c r="AO18" s="71"/>
      <c r="AP18" s="71"/>
    </row>
    <row r="19" spans="1:43" ht="19.5" customHeight="1">
      <c r="A19" s="113"/>
      <c r="B19" s="113"/>
      <c r="C19" s="91"/>
      <c r="D19" s="160"/>
      <c r="E19" s="161"/>
      <c r="F19" s="162"/>
      <c r="G19" s="163"/>
      <c r="H19" s="163"/>
      <c r="I19" s="161"/>
      <c r="J19" s="164"/>
      <c r="K19" s="164"/>
      <c r="L19" s="164"/>
      <c r="M19" s="164"/>
      <c r="N19" s="165"/>
      <c r="O19" s="166"/>
      <c r="P19" s="167"/>
      <c r="Q19" s="168">
        <f>IF(P19&gt;0,(P19*K19),"")</f>
      </c>
      <c r="R19" s="168"/>
      <c r="S19" s="167"/>
      <c r="T19" s="169">
        <f>IF(OR(R19&gt;0,S19&gt;0),(R19+S19*0.6)*DATI!$E$14,"")</f>
      </c>
      <c r="U19" s="170" t="str">
        <f>IF($A$5&gt;0," ",IF(AND(N19="A",F19&gt;0),(9687.52)*F19,IF(AND($A$5=0,C19="S",N19="A",F19=1),9687.52," ")))</f>
        <v> </v>
      </c>
      <c r="V19" s="171" t="str">
        <f>IF(AND(N19="A",F19&gt;=0,C19="s",$A$5&gt;0),9687.52*F19+114.01*Q19," ")</f>
        <v> </v>
      </c>
      <c r="W19" s="172" t="str">
        <f>IF(AND(OR(N19="B",N19="C"),$A$5=0,$C$5="N"),116.25*Q19+'DATI (2)'!$E$4*Q19,IF(AND(OR(N19="B",N19="C"),$A$5=0,$C$5="S"),114.01*Q19+'DATI (2)'!$E$4*Q19," "))</f>
        <v> </v>
      </c>
      <c r="X19" s="171" t="str">
        <f>IF(AND(OR(N19="B",N19="C"),C19="s",$A$5&gt;0),114.01*1.3*Q19+1.3*'DATI (2)'!$E$4*Q19," ")</f>
        <v> </v>
      </c>
      <c r="Y19" s="171" t="str">
        <f>IF(N19="E",IF(M19=1,'DATI (2)'!$E$7*T19,IF(M19=2,'DATI (2)'!$E$8*T19,IF(M19=3,'DATI (2)'!$E$9*T19)))*B19," ")</f>
        <v> </v>
      </c>
      <c r="Z19" s="173"/>
      <c r="AA19" s="174">
        <f>IF(Z19="X",'DATI (2)'!$E$5*P19*L19,"")</f>
      </c>
      <c r="AB19" s="175">
        <f>IF(G19="X",-SUM(U19:Y19)*'DATI (2)'!$E$15,"")</f>
      </c>
      <c r="AC19" s="176">
        <f>SUM(U19:AB19)</f>
        <v>0</v>
      </c>
      <c r="AD19" s="71"/>
      <c r="AE19" s="71"/>
      <c r="AF19" s="151"/>
      <c r="AG19" s="151"/>
      <c r="AH19" s="151"/>
      <c r="AI19" s="151"/>
      <c r="AJ19" s="151"/>
      <c r="AN19" s="69"/>
      <c r="AO19" s="177"/>
      <c r="AP19" s="69"/>
      <c r="AQ19" s="69"/>
    </row>
    <row r="20" spans="1:43" ht="26.25" customHeight="1">
      <c r="A20" s="113"/>
      <c r="B20" s="113"/>
      <c r="C20" s="91"/>
      <c r="D20" s="178"/>
      <c r="E20" s="179"/>
      <c r="F20" s="179"/>
      <c r="G20" s="179"/>
      <c r="H20" s="179"/>
      <c r="I20" s="179"/>
      <c r="J20" s="179" t="s">
        <v>78</v>
      </c>
      <c r="K20" s="179"/>
      <c r="L20" s="179"/>
      <c r="M20" s="179"/>
      <c r="N20" s="179"/>
      <c r="O20" s="179"/>
      <c r="P20" s="180">
        <f>SUM(P5:P19)</f>
        <v>40.5</v>
      </c>
      <c r="Q20" s="180">
        <f>SUM(Q5:Q19)</f>
        <v>105.3</v>
      </c>
      <c r="R20" s="179" t="s">
        <v>79</v>
      </c>
      <c r="S20" s="179"/>
      <c r="T20" s="180">
        <f>SUM(T5:T19)</f>
        <v>89.505</v>
      </c>
      <c r="U20" s="181">
        <f>SUM(U5:U19)</f>
        <v>0</v>
      </c>
      <c r="V20" s="181">
        <f>SUM(V5:V19)</f>
        <v>0</v>
      </c>
      <c r="W20" s="181">
        <f>SUM(W5:W19)</f>
        <v>0</v>
      </c>
      <c r="X20" s="181">
        <f>SUM(X5:X19)</f>
        <v>0</v>
      </c>
      <c r="Y20" s="181">
        <f>SUM(Y5:Y19)</f>
        <v>114265.66320000001</v>
      </c>
      <c r="Z20" s="181"/>
      <c r="AA20" s="181">
        <f>SUM(AA5:AA19)</f>
        <v>0</v>
      </c>
      <c r="AB20" s="182">
        <f>SUM(AB5:AB19)</f>
        <v>0</v>
      </c>
      <c r="AC20" s="183">
        <f>SUM(AC5:AC19)</f>
        <v>114265.66320000001</v>
      </c>
      <c r="AD20" s="71"/>
      <c r="AE20" s="71"/>
      <c r="AF20" s="151"/>
      <c r="AG20" s="151"/>
      <c r="AH20" s="151"/>
      <c r="AI20" s="151"/>
      <c r="AJ20" s="151"/>
      <c r="AN20" s="69"/>
      <c r="AO20" s="177"/>
      <c r="AP20" s="69"/>
      <c r="AQ20" s="69"/>
    </row>
    <row r="21" spans="4:43" ht="29.25" customHeight="1">
      <c r="D21" s="184"/>
      <c r="E21" s="185"/>
      <c r="F21" s="185"/>
      <c r="G21" s="186"/>
      <c r="H21" s="187" t="s">
        <v>80</v>
      </c>
      <c r="I21" s="188"/>
      <c r="J21" s="189"/>
      <c r="K21" s="189"/>
      <c r="L21" s="188"/>
      <c r="M21" s="188"/>
      <c r="N21" s="190">
        <f>AN42/Q20</f>
        <v>0</v>
      </c>
      <c r="O21" s="185"/>
      <c r="P21" s="187" t="s">
        <v>81</v>
      </c>
      <c r="Q21" s="191"/>
      <c r="R21" s="192"/>
      <c r="S21" s="192"/>
      <c r="T21" s="190">
        <f>(Q20-AN41-AK45)/Q20</f>
        <v>1</v>
      </c>
      <c r="U21" s="193"/>
      <c r="V21" s="187" t="s">
        <v>82</v>
      </c>
      <c r="W21" s="189"/>
      <c r="X21" s="194"/>
      <c r="Y21" s="190">
        <f>SUM(S5:S19)/DATI!$E$14/Q20</f>
        <v>0</v>
      </c>
      <c r="Z21" s="193"/>
      <c r="AA21" s="193"/>
      <c r="AB21" s="193"/>
      <c r="AC21" s="195"/>
      <c r="AD21" s="196"/>
      <c r="AE21" s="196"/>
      <c r="AF21" s="197"/>
      <c r="AG21" s="197"/>
      <c r="AH21" s="197"/>
      <c r="AI21" s="197"/>
      <c r="AJ21" s="197"/>
      <c r="AN21" s="69"/>
      <c r="AO21" s="177"/>
      <c r="AP21" s="198"/>
      <c r="AQ21" s="69"/>
    </row>
    <row r="22" spans="1:42" ht="19.5" customHeight="1">
      <c r="A22" s="113"/>
      <c r="B22" s="113"/>
      <c r="P22" s="68"/>
      <c r="Q22" s="68"/>
      <c r="R22" s="68"/>
      <c r="S22" s="68"/>
      <c r="AF22" s="151"/>
      <c r="AG22" s="151"/>
      <c r="AH22" s="151"/>
      <c r="AI22" s="151"/>
      <c r="AJ22" s="151"/>
      <c r="AK22" s="151"/>
      <c r="AL22" s="151"/>
      <c r="AM22" s="71"/>
      <c r="AN22" s="71"/>
      <c r="AO22" s="71"/>
      <c r="AP22" s="71"/>
    </row>
    <row r="23" spans="1:42" ht="19.5" customHeight="1">
      <c r="A23" s="113"/>
      <c r="B23" s="113"/>
      <c r="AF23" s="151"/>
      <c r="AG23" s="151"/>
      <c r="AH23" s="151"/>
      <c r="AI23" s="151"/>
      <c r="AJ23" s="151"/>
      <c r="AK23" s="151"/>
      <c r="AL23" s="151"/>
      <c r="AM23" s="71"/>
      <c r="AN23" s="71"/>
      <c r="AO23" s="71"/>
      <c r="AP23" s="71"/>
    </row>
    <row r="24" spans="1:67" ht="28.5" customHeight="1">
      <c r="A24" s="113"/>
      <c r="B24" s="113"/>
      <c r="D24" s="199" t="s">
        <v>83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 t="s">
        <v>84</v>
      </c>
      <c r="Z24" s="199"/>
      <c r="AA24" s="199"/>
      <c r="AB24" s="199"/>
      <c r="AC24" s="199"/>
      <c r="AF24" s="151"/>
      <c r="AG24" s="151"/>
      <c r="AH24" s="200" t="s">
        <v>85</v>
      </c>
      <c r="AI24" s="201" t="s">
        <v>86</v>
      </c>
      <c r="AJ24" s="201"/>
      <c r="AK24" s="201"/>
      <c r="AL24" s="202" t="s">
        <v>87</v>
      </c>
      <c r="AM24" s="202"/>
      <c r="AQ24" s="203" t="s">
        <v>85</v>
      </c>
      <c r="AR24" s="203"/>
      <c r="AS24" s="203" t="s">
        <v>88</v>
      </c>
      <c r="AT24" s="203"/>
      <c r="AV24" s="204" t="s">
        <v>89</v>
      </c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</row>
    <row r="25" spans="4:75" ht="75" customHeight="1">
      <c r="D25" s="205" t="s">
        <v>43</v>
      </c>
      <c r="E25" s="206" t="s">
        <v>45</v>
      </c>
      <c r="F25" s="207" t="s">
        <v>90</v>
      </c>
      <c r="G25" s="208" t="s">
        <v>91</v>
      </c>
      <c r="H25" s="209" t="s">
        <v>67</v>
      </c>
      <c r="I25" s="209"/>
      <c r="J25" s="209"/>
      <c r="K25" s="210" t="s">
        <v>92</v>
      </c>
      <c r="L25" s="210"/>
      <c r="M25" s="211" t="s">
        <v>93</v>
      </c>
      <c r="N25" s="211"/>
      <c r="O25" s="212" t="s">
        <v>94</v>
      </c>
      <c r="P25" s="210" t="s">
        <v>95</v>
      </c>
      <c r="Q25" s="213" t="s">
        <v>96</v>
      </c>
      <c r="R25" s="214" t="s">
        <v>97</v>
      </c>
      <c r="S25" s="215" t="s">
        <v>98</v>
      </c>
      <c r="T25" s="212" t="s">
        <v>99</v>
      </c>
      <c r="U25" s="216" t="s">
        <v>100</v>
      </c>
      <c r="V25" s="215" t="s">
        <v>101</v>
      </c>
      <c r="W25" s="212" t="s">
        <v>102</v>
      </c>
      <c r="X25" s="216" t="s">
        <v>103</v>
      </c>
      <c r="Y25" s="211" t="s">
        <v>104</v>
      </c>
      <c r="Z25" s="217" t="s">
        <v>105</v>
      </c>
      <c r="AA25" s="217"/>
      <c r="AB25" s="218" t="s">
        <v>106</v>
      </c>
      <c r="AC25" s="218"/>
      <c r="AF25" s="151"/>
      <c r="AG25" s="151"/>
      <c r="AH25" s="219" t="s">
        <v>77</v>
      </c>
      <c r="AI25" s="219" t="s">
        <v>77</v>
      </c>
      <c r="AJ25" s="219" t="s">
        <v>107</v>
      </c>
      <c r="AK25" s="219" t="s">
        <v>72</v>
      </c>
      <c r="AL25" s="219" t="s">
        <v>72</v>
      </c>
      <c r="AM25" s="219" t="s">
        <v>72</v>
      </c>
      <c r="AN25" s="219" t="s">
        <v>108</v>
      </c>
      <c r="AQ25" s="220" t="s">
        <v>109</v>
      </c>
      <c r="AR25" s="220" t="s">
        <v>110</v>
      </c>
      <c r="AS25" s="221" t="s">
        <v>71</v>
      </c>
      <c r="AT25" s="221" t="s">
        <v>75</v>
      </c>
      <c r="AV25" s="220" t="s">
        <v>111</v>
      </c>
      <c r="AW25" s="220"/>
      <c r="AX25" s="220" t="s">
        <v>112</v>
      </c>
      <c r="AY25" s="220"/>
      <c r="AZ25" s="220" t="s">
        <v>110</v>
      </c>
      <c r="BA25" s="220"/>
      <c r="BC25" s="220" t="s">
        <v>113</v>
      </c>
      <c r="BD25" s="220"/>
      <c r="BE25" s="220" t="s">
        <v>114</v>
      </c>
      <c r="BF25" s="220"/>
      <c r="BG25" s="220" t="s">
        <v>115</v>
      </c>
      <c r="BH25" s="220"/>
      <c r="BJ25" s="220" t="s">
        <v>116</v>
      </c>
      <c r="BK25" s="220"/>
      <c r="BL25" s="220" t="s">
        <v>117</v>
      </c>
      <c r="BM25" s="220"/>
      <c r="BN25" s="220" t="s">
        <v>118</v>
      </c>
      <c r="BQ25" s="68" t="s">
        <v>119</v>
      </c>
      <c r="BR25" s="68" t="s">
        <v>120</v>
      </c>
      <c r="BS25" s="68" t="s">
        <v>121</v>
      </c>
      <c r="BT25" s="68" t="s">
        <v>122</v>
      </c>
      <c r="BU25" s="68" t="s">
        <v>123</v>
      </c>
      <c r="BW25" s="222" t="s">
        <v>124</v>
      </c>
    </row>
    <row r="26" spans="4:75" ht="19.5" customHeight="1">
      <c r="D26" s="223">
        <f>D5</f>
        <v>56</v>
      </c>
      <c r="E26" s="224">
        <f>F5</f>
        <v>0</v>
      </c>
      <c r="F26" s="225" t="str">
        <f>N5</f>
        <v>E</v>
      </c>
      <c r="G26" s="226">
        <f>Q5</f>
        <v>105.3</v>
      </c>
      <c r="H26" s="227">
        <f>AC5</f>
        <v>114265.66320000001</v>
      </c>
      <c r="I26" s="227"/>
      <c r="J26" s="227"/>
      <c r="K26" s="228">
        <f>(H26)*0.1</f>
        <v>11426.566320000002</v>
      </c>
      <c r="L26" s="228"/>
      <c r="M26" s="229">
        <f>IF($C$5="s",IF(SUM($H$41)&lt;=1000000,SUM(H26)*0.02,SUM(H26)*0.01),0)</f>
        <v>2285.3132640000003</v>
      </c>
      <c r="N26" s="229"/>
      <c r="O26" s="230">
        <f>(M26*(0.04))</f>
        <v>91.41253056000002</v>
      </c>
      <c r="P26" s="231">
        <f>(M26+O26)*0.22</f>
        <v>522.8796748032001</v>
      </c>
      <c r="Q26" s="232">
        <f>IF(F26="E",G26*12,0)</f>
        <v>1263.6</v>
      </c>
      <c r="R26" s="233">
        <f>BW26*0.22</f>
        <v>1100</v>
      </c>
      <c r="S26" s="234">
        <f>IF(F26="E",H26*1.5%,0)</f>
        <v>1713.984948</v>
      </c>
      <c r="T26" s="235">
        <f>S26*0.02</f>
        <v>34.279698960000005</v>
      </c>
      <c r="U26" s="236">
        <f>(S26+T26)*0.22</f>
        <v>384.6182223312</v>
      </c>
      <c r="V26" s="232">
        <f>H26*0.15</f>
        <v>17139.84948</v>
      </c>
      <c r="W26" s="230">
        <f>V26*0.04</f>
        <v>685.5939792</v>
      </c>
      <c r="X26" s="237">
        <f>0.22*(W26+V26)</f>
        <v>3921.597561024</v>
      </c>
      <c r="Y26" s="238">
        <f>SUM(K26:X26)-Q26+BW26</f>
        <v>44306.0956788784</v>
      </c>
      <c r="Z26" s="239">
        <f>Y26+H26</f>
        <v>158571.7588788784</v>
      </c>
      <c r="AA26" s="239"/>
      <c r="AB26" s="240">
        <f>SUM(Z26:AA40)</f>
        <v>158571.7588788784</v>
      </c>
      <c r="AC26" s="240"/>
      <c r="AF26" s="151"/>
      <c r="AG26" s="151"/>
      <c r="AH26" s="241">
        <f>IF($N5="E",$T5,0)</f>
        <v>89.505</v>
      </c>
      <c r="AI26" s="241">
        <f>IF(OR($F26="E",$F26="E"),$G26,0)</f>
        <v>105.3</v>
      </c>
      <c r="AJ26" s="241">
        <f>IF(OR($F26="B",$F26="C"),$G26,0)</f>
        <v>0</v>
      </c>
      <c r="AK26" s="241">
        <f>IF($F26="A",$G26,0)</f>
        <v>0</v>
      </c>
      <c r="AL26" s="241">
        <f>IF($N5="A",$F5,0)</f>
        <v>0</v>
      </c>
      <c r="AM26" s="241">
        <f>IF(AND($F26="A",$F5&gt;0),$G26,0)</f>
        <v>0</v>
      </c>
      <c r="AN26" s="241">
        <f>IF($F5&gt;0,$G26,0)</f>
        <v>0</v>
      </c>
      <c r="AQ26" s="242">
        <f>IF($N5="E",$R5/'DATI (2)'!$E$13,0)</f>
        <v>105.3</v>
      </c>
      <c r="AR26" s="242">
        <f>IF($N5="E",$S5/'DATI (2)'!$E$14,0)</f>
        <v>0</v>
      </c>
      <c r="AS26" s="243">
        <f>($R5)/'DATI (2)'!$E$13</f>
        <v>105.3</v>
      </c>
      <c r="AT26" s="243">
        <f>$S5/'DATI (2)'!$E$14</f>
        <v>0</v>
      </c>
      <c r="AV26" s="242">
        <f>IF(AND($F26="E",$F5&gt;0),$R5/'DATI (2)'!$E$13,0)</f>
        <v>0</v>
      </c>
      <c r="AW26" s="244">
        <f>IF(AND($F26="E",$F5&gt;0),$Z26,0)</f>
        <v>0</v>
      </c>
      <c r="AX26" s="242">
        <f>IF(AND($F26="E",$F5=0),$R5/'DATI (2)'!$E$13,0)</f>
        <v>105.3</v>
      </c>
      <c r="AY26" s="244">
        <f>IF(AND($F26="E",$F5=0,R5&gt;0),$Z26*$BT26,0)</f>
        <v>158571.7588788784</v>
      </c>
      <c r="AZ26" s="242">
        <f>IF(AND($F26="E"),$S5/'DATI (2)'!$E$13,0)</f>
        <v>0</v>
      </c>
      <c r="BA26" s="244">
        <f>IF(AND($F26="E",$S5&gt;0),$Z26*$BU26,0)</f>
        <v>0</v>
      </c>
      <c r="BC26" s="242">
        <f>IF(AND(OR($F26="B",$F26="C"),$F5&gt;0),$R5/'DATI (2)'!$E$13,0)</f>
        <v>0</v>
      </c>
      <c r="BD26" s="244">
        <f>IF(AND(AND(OR($F26="B",$F26="C")),$F5&gt;0),$Z26,0)</f>
        <v>0</v>
      </c>
      <c r="BE26" s="242">
        <f>IF(AND(OR($F26="B",$F26="C"),$F5=0),$R5/'DATI (2)'!$E$13,0)</f>
        <v>0</v>
      </c>
      <c r="BF26" s="244">
        <f>IF(AND((OR($F26="B",$F26="C")),$F5=0,R5&gt;0),$Z26*$BT26,0)</f>
        <v>0</v>
      </c>
      <c r="BG26" s="242">
        <f>IF(AND(OR($F26="B",$F26="C")),$S5/'DATI (2)'!$E$13,0)</f>
        <v>0</v>
      </c>
      <c r="BH26" s="244">
        <f>IF(AND((OR($F26="B",$F26="C")),$S5&gt;0),$Z26*$BU26,0)</f>
        <v>0</v>
      </c>
      <c r="BJ26" s="242">
        <f>IF(AND($F26="A",$F5&gt;0),$R5/'DATI (2)'!$E$13,0)</f>
        <v>0</v>
      </c>
      <c r="BK26" s="244">
        <f>IF(AND($F26="a",$F5&gt;0),$Z26,0)</f>
        <v>0</v>
      </c>
      <c r="BL26" s="242">
        <f>IF(AND($F26="A",$F5=0),$R5/'DATI (2)'!$E$13,0)</f>
        <v>0</v>
      </c>
      <c r="BM26" s="244">
        <f>IF(AND($F26="a",$F5=0,R5&gt;0),$Z26*$BT26,0)</f>
        <v>0</v>
      </c>
      <c r="BN26" s="242">
        <f>IF(AND($F26="A"),$S5/'DATI (2)'!$E$13,0)</f>
        <v>0</v>
      </c>
      <c r="BO26" s="244">
        <f>IF(AND($F26="a",$S5&gt;0),$Z26*$BU26,0)</f>
        <v>0</v>
      </c>
      <c r="BQ26" s="245">
        <f>Q5</f>
        <v>105.3</v>
      </c>
      <c r="BR26" s="245">
        <f>R5/'DATI (2)'!$E$13</f>
        <v>105.3</v>
      </c>
      <c r="BS26" s="245">
        <f>S5/'DATI (2)'!$E$14</f>
        <v>0</v>
      </c>
      <c r="BT26" s="245">
        <f>BR26/BQ26</f>
        <v>1</v>
      </c>
      <c r="BU26" s="245">
        <f>BS26/BQ26</f>
        <v>0</v>
      </c>
      <c r="BW26" s="68">
        <f>IF(F26="E",$Q$41*G26/$AI$41,0)</f>
        <v>5000</v>
      </c>
    </row>
    <row r="27" spans="4:75" ht="19.5" customHeight="1">
      <c r="D27" s="246">
        <f>D6</f>
        <v>0</v>
      </c>
      <c r="E27" s="247">
        <f>F6</f>
        <v>0</v>
      </c>
      <c r="F27" s="248">
        <f>N6</f>
        <v>0</v>
      </c>
      <c r="G27" s="249">
        <f>Q6</f>
        <v>0</v>
      </c>
      <c r="H27" s="250">
        <f>AC6</f>
        <v>0</v>
      </c>
      <c r="I27" s="250"/>
      <c r="J27" s="250"/>
      <c r="K27" s="251">
        <f>(H27)*0.1</f>
        <v>0</v>
      </c>
      <c r="L27" s="251"/>
      <c r="M27" s="252">
        <f>IF($C$5="s",IF(SUM($H$41)&lt;=1000000,SUM(H27)*0.02,SUM(H27)*0.01),0)</f>
        <v>0</v>
      </c>
      <c r="N27" s="252"/>
      <c r="O27" s="253">
        <f>(M27*(0.04))</f>
        <v>0</v>
      </c>
      <c r="P27" s="254">
        <f>(M27+O27)*0.22</f>
        <v>0</v>
      </c>
      <c r="Q27" s="255">
        <f>IF(F27="E",G27*12,0)</f>
        <v>0</v>
      </c>
      <c r="R27" s="256">
        <f>BW27*0.22</f>
        <v>0</v>
      </c>
      <c r="S27" s="257">
        <f>IF(F27="E",H27*1.5%,0)</f>
        <v>0</v>
      </c>
      <c r="T27" s="258">
        <f>S27*0.02</f>
        <v>0</v>
      </c>
      <c r="U27" s="259">
        <f>(S27+T27)*0.22</f>
        <v>0</v>
      </c>
      <c r="V27" s="255">
        <f>H27*0.15</f>
        <v>0</v>
      </c>
      <c r="W27" s="253">
        <f>V27*0.04</f>
        <v>0</v>
      </c>
      <c r="X27" s="260">
        <f>0.22*(W27+V27)</f>
        <v>0</v>
      </c>
      <c r="Y27" s="261">
        <f>SUM(K27:X27)-Q27+BW27</f>
        <v>0</v>
      </c>
      <c r="Z27" s="262">
        <f>Y27+H27</f>
        <v>0</v>
      </c>
      <c r="AA27" s="262"/>
      <c r="AB27" s="240"/>
      <c r="AC27" s="240"/>
      <c r="AF27" s="151"/>
      <c r="AG27" s="151"/>
      <c r="AH27" s="241">
        <f>IF($N6="E",$T6,0)</f>
        <v>0</v>
      </c>
      <c r="AI27" s="241">
        <f>IF(OR($F27="E",$F27="E"),$G27,0)</f>
        <v>0</v>
      </c>
      <c r="AJ27" s="241">
        <f>IF(OR($F27="B",$F27="C"),$G27,0)</f>
        <v>0</v>
      </c>
      <c r="AK27" s="241">
        <f>IF($F27="A",$G27,0)</f>
        <v>0</v>
      </c>
      <c r="AL27" s="241">
        <f>IF($N6="A",$F6,0)</f>
        <v>0</v>
      </c>
      <c r="AM27" s="241">
        <f>IF(AND($F27="A",$F6&gt;0),$G27,0)</f>
        <v>0</v>
      </c>
      <c r="AN27" s="241">
        <f>IF($F6&gt;0,$G27,0)</f>
        <v>0</v>
      </c>
      <c r="AQ27" s="242">
        <f>IF($N6="E",$R6/'DATI (2)'!$E$13,0)</f>
        <v>0</v>
      </c>
      <c r="AR27" s="242">
        <f>IF($N6="E",$S6/'DATI (2)'!$E$14,0)</f>
        <v>0</v>
      </c>
      <c r="AS27" s="243">
        <f>($R6)/'DATI (2)'!$E$13</f>
        <v>0</v>
      </c>
      <c r="AT27" s="243">
        <f>$S6/'DATI (2)'!$E$14</f>
        <v>0</v>
      </c>
      <c r="AV27" s="242">
        <f>IF(AND($F27="E",$F6&gt;0),$R6/'DATI (2)'!$E$13,0)</f>
        <v>0</v>
      </c>
      <c r="AW27" s="244">
        <f>IF(AND($F27="E",$F6&gt;0),$Z27,0)</f>
        <v>0</v>
      </c>
      <c r="AX27" s="242">
        <f>IF(AND($F27="E",$F6=0),$R6/'DATI (2)'!$E$13,0)</f>
        <v>0</v>
      </c>
      <c r="AY27" s="244">
        <f>IF(AND($F27="E",$F6=0,R6&gt;0),$Z27*$BT27,0)</f>
        <v>0</v>
      </c>
      <c r="AZ27" s="242">
        <f>IF(AND($F27="E"),$S6/'DATI (2)'!$E$13,0)</f>
        <v>0</v>
      </c>
      <c r="BA27" s="244">
        <f>IF(AND($F27="E",$S6&gt;0),$Z27*$BU27,0)</f>
        <v>0</v>
      </c>
      <c r="BC27" s="242">
        <f>IF(AND(OR($F27="B",$F27="C"),$F6&gt;0),$R6/'DATI (2)'!$E$13,0)</f>
        <v>0</v>
      </c>
      <c r="BD27" s="244">
        <f>IF(AND(AND(OR($F27="B",$F27="C")),$F6&gt;0),$Z27,0)</f>
        <v>0</v>
      </c>
      <c r="BE27" s="242">
        <f>IF(AND(OR($F27="B",$F27="C"),$F6=0),$R6/'DATI (2)'!$E$13,0)</f>
        <v>0</v>
      </c>
      <c r="BF27" s="244">
        <f>IF(AND((OR($F27="B",$F27="C")),$F6=0,R6&gt;0),$Z27*$BT27,0)</f>
        <v>0</v>
      </c>
      <c r="BG27" s="242">
        <f>IF(AND(OR($F27="B",$F27="C")),$S6/'DATI (2)'!$E$13,0)</f>
        <v>0</v>
      </c>
      <c r="BH27" s="244">
        <f>IF(AND((OR($F27="B",$F27="C")),$S6&gt;0),$Z27*$BU27,0)</f>
        <v>0</v>
      </c>
      <c r="BJ27" s="242">
        <f>IF(AND($F27="A",$F6&gt;0),$R6/'DATI (2)'!$E$13,0)</f>
        <v>0</v>
      </c>
      <c r="BK27" s="244">
        <f>IF(AND($F27="a",$F6&gt;0),$Z27,0)</f>
        <v>0</v>
      </c>
      <c r="BL27" s="242">
        <f>IF(AND($F27="A",$F6=0),$R6/'DATI (2)'!$E$13,0)</f>
        <v>0</v>
      </c>
      <c r="BM27" s="244">
        <f>IF(AND($F27="a",$F6=0,R6&gt;0),$Z27*$BT27,0)</f>
        <v>0</v>
      </c>
      <c r="BN27" s="242">
        <f>IF(AND($F27="A"),$S6/'DATI (2)'!$E$13,0)</f>
        <v>0</v>
      </c>
      <c r="BO27" s="244">
        <f>IF(AND($F27="a",$S6&gt;0),$Z27*$BU27,0)</f>
        <v>0</v>
      </c>
      <c r="BQ27" s="245">
        <f>Q6</f>
        <v>0</v>
      </c>
      <c r="BR27" s="245">
        <f>R6/'DATI (2)'!$E$13</f>
        <v>0</v>
      </c>
      <c r="BS27" s="245">
        <f>S6/'DATI (2)'!$E$14</f>
        <v>0</v>
      </c>
      <c r="BT27" s="245" t="e">
        <f>BR27/BQ27</f>
        <v>#DIV/0!</v>
      </c>
      <c r="BU27" s="245" t="e">
        <f>BS27/BQ27</f>
        <v>#DIV/0!</v>
      </c>
      <c r="BW27" s="68">
        <f>IF(F27="E",$Q$41*G27/$AI$41,0)</f>
        <v>0</v>
      </c>
    </row>
    <row r="28" spans="4:75" ht="19.5" customHeight="1">
      <c r="D28" s="246">
        <f>D7</f>
        <v>0</v>
      </c>
      <c r="E28" s="247">
        <f>F7</f>
        <v>0</v>
      </c>
      <c r="F28" s="248">
        <f>N7</f>
        <v>0</v>
      </c>
      <c r="G28" s="249">
        <f>Q7</f>
        <v>0</v>
      </c>
      <c r="H28" s="250">
        <f>AC7</f>
        <v>0</v>
      </c>
      <c r="I28" s="250"/>
      <c r="J28" s="250"/>
      <c r="K28" s="251">
        <f>(H28)*0.1</f>
        <v>0</v>
      </c>
      <c r="L28" s="251"/>
      <c r="M28" s="252">
        <f>IF($C$5="s",IF(SUM($H$41)&lt;=1000000,SUM(H28)*0.02,SUM(H28)*0.01),0)</f>
        <v>0</v>
      </c>
      <c r="N28" s="252"/>
      <c r="O28" s="253">
        <f>(M28*(0.04))</f>
        <v>0</v>
      </c>
      <c r="P28" s="254">
        <f>(M28+O28)*0.22</f>
        <v>0</v>
      </c>
      <c r="Q28" s="255">
        <f>IF(F28="E",G28*12,0)</f>
        <v>0</v>
      </c>
      <c r="R28" s="256">
        <f>BW28*0.22</f>
        <v>0</v>
      </c>
      <c r="S28" s="257">
        <f>IF(F28="E",H28*1.5%,0)</f>
        <v>0</v>
      </c>
      <c r="T28" s="258">
        <f>S28*0.02</f>
        <v>0</v>
      </c>
      <c r="U28" s="259">
        <f>(S28+T28)*0.22</f>
        <v>0</v>
      </c>
      <c r="V28" s="255">
        <f>H28*0.15</f>
        <v>0</v>
      </c>
      <c r="W28" s="253">
        <f>V28*0.04</f>
        <v>0</v>
      </c>
      <c r="X28" s="260">
        <f>0.22*(W28+V28)</f>
        <v>0</v>
      </c>
      <c r="Y28" s="261">
        <f>SUM(K28:X28)-Q28+BW28</f>
        <v>0</v>
      </c>
      <c r="Z28" s="262">
        <f>Y28+H28</f>
        <v>0</v>
      </c>
      <c r="AA28" s="262"/>
      <c r="AB28" s="240"/>
      <c r="AC28" s="240"/>
      <c r="AF28" s="151"/>
      <c r="AG28" s="151"/>
      <c r="AH28" s="241">
        <f>IF($N7="E",$T7,0)</f>
        <v>0</v>
      </c>
      <c r="AI28" s="241">
        <f>IF(OR($F28="E",$F28="E"),$G28,0)</f>
        <v>0</v>
      </c>
      <c r="AJ28" s="241">
        <f>IF(OR($F28="B",$F28="C"),$G28,0)</f>
        <v>0</v>
      </c>
      <c r="AK28" s="241">
        <f>IF($F28="A",$G28,0)</f>
        <v>0</v>
      </c>
      <c r="AL28" s="241">
        <f>IF($N7="A",$F7,0)</f>
        <v>0</v>
      </c>
      <c r="AM28" s="241">
        <f>IF(AND($F28="A",$F7&gt;0),$G28,0)</f>
        <v>0</v>
      </c>
      <c r="AN28" s="241">
        <f>IF($F7&gt;0,$G28,0)</f>
        <v>0</v>
      </c>
      <c r="AQ28" s="242">
        <f>IF($N7="E",$R7/'DATI (2)'!$E$13,0)</f>
        <v>0</v>
      </c>
      <c r="AR28" s="242">
        <f>IF($N7="E",$S7/'DATI (2)'!$E$14,0)</f>
        <v>0</v>
      </c>
      <c r="AS28" s="243">
        <f>($R7)/'DATI (2)'!$E$13</f>
        <v>0</v>
      </c>
      <c r="AT28" s="243">
        <f>$S7/'DATI (2)'!$E$14</f>
        <v>0</v>
      </c>
      <c r="AV28" s="242">
        <f>IF(AND($F28="E",$F7&gt;0),$R7/'DATI (2)'!$E$13,0)</f>
        <v>0</v>
      </c>
      <c r="AW28" s="244">
        <f>IF(AND($F28="E",$F7&gt;0),$Z28,0)</f>
        <v>0</v>
      </c>
      <c r="AX28" s="242">
        <f>IF(AND($F28="E",$F7=0),$R7/'DATI (2)'!$E$13,0)</f>
        <v>0</v>
      </c>
      <c r="AY28" s="244">
        <f>IF(AND($F28="E",$F7=0,R7&gt;0),$Z28*$BT28,0)</f>
        <v>0</v>
      </c>
      <c r="AZ28" s="242">
        <f>IF(AND($F28="E"),$S7/'DATI (2)'!$E$13,0)</f>
        <v>0</v>
      </c>
      <c r="BA28" s="244">
        <f>IF(AND($F28="E",$S7&gt;0),$Z28*$BU28,0)</f>
        <v>0</v>
      </c>
      <c r="BC28" s="242">
        <f>IF(AND(OR($F28="B",$F28="C"),$F7&gt;0),$R7/'DATI (2)'!$E$13,0)</f>
        <v>0</v>
      </c>
      <c r="BD28" s="244">
        <f>IF(AND(AND(OR($F28="B",$F28="C")),$F7&gt;0),$Z28,0)</f>
        <v>0</v>
      </c>
      <c r="BE28" s="242">
        <f>IF(AND(OR($F28="B",$F28="C"),$F7=0),$R7/'DATI (2)'!$E$13,0)</f>
        <v>0</v>
      </c>
      <c r="BF28" s="244">
        <f>IF(AND((OR($F28="B",$F28="C")),$F7=0,R7&gt;0),$Z28*$BT28,0)</f>
        <v>0</v>
      </c>
      <c r="BG28" s="242">
        <f>IF(AND(OR($F28="B",$F28="C")),$S7/'DATI (2)'!$E$13,0)</f>
        <v>0</v>
      </c>
      <c r="BH28" s="244">
        <f>IF(AND((OR($F28="B",$F28="C")),$S7&gt;0),$Z28*$BU28,0)</f>
        <v>0</v>
      </c>
      <c r="BJ28" s="242">
        <f>IF(AND($F28="A",$F7&gt;0),$R7/'DATI (2)'!$E$13,0)</f>
        <v>0</v>
      </c>
      <c r="BK28" s="244">
        <f>IF(AND($F28="a",$F7&gt;0),$Z28,0)</f>
        <v>0</v>
      </c>
      <c r="BL28" s="242">
        <f>IF(AND($F28="A",$F7=0),$R7/'DATI (2)'!$E$13,0)</f>
        <v>0</v>
      </c>
      <c r="BM28" s="244">
        <f>IF(AND($F28="a",$F7=0,R7&gt;0),$Z28*$BT28,0)</f>
        <v>0</v>
      </c>
      <c r="BN28" s="242">
        <f>IF(AND($F28="A"),$S7/'DATI (2)'!$E$13,0)</f>
        <v>0</v>
      </c>
      <c r="BO28" s="244">
        <f>IF(AND($F28="a",$S7&gt;0),$Z28*$BU28,0)</f>
        <v>0</v>
      </c>
      <c r="BQ28" s="245">
        <f>Q7</f>
        <v>0</v>
      </c>
      <c r="BR28" s="245">
        <f>R7/'DATI (2)'!$E$13</f>
        <v>0</v>
      </c>
      <c r="BS28" s="245">
        <f>S7/'DATI (2)'!$E$14</f>
        <v>0</v>
      </c>
      <c r="BT28" s="245" t="e">
        <f>BR28/BQ28</f>
        <v>#DIV/0!</v>
      </c>
      <c r="BU28" s="245" t="e">
        <f>BS28/BQ28</f>
        <v>#DIV/0!</v>
      </c>
      <c r="BW28" s="263">
        <f>IF(F28="E",$Q$41*G28/$AI$41,0)</f>
        <v>0</v>
      </c>
    </row>
    <row r="29" spans="4:75" ht="19.5" customHeight="1">
      <c r="D29" s="246">
        <f>D8</f>
        <v>0</v>
      </c>
      <c r="E29" s="247">
        <f>F8</f>
        <v>0</v>
      </c>
      <c r="F29" s="248">
        <f>N8</f>
        <v>0</v>
      </c>
      <c r="G29" s="249">
        <f>Q8</f>
        <v>0</v>
      </c>
      <c r="H29" s="250">
        <f>AC8</f>
        <v>0</v>
      </c>
      <c r="I29" s="250"/>
      <c r="J29" s="250"/>
      <c r="K29" s="251">
        <f>(H29)*0.1</f>
        <v>0</v>
      </c>
      <c r="L29" s="251"/>
      <c r="M29" s="252">
        <f>IF($C$5="s",IF(SUM($H$41)&lt;=1000000,SUM(H29)*0.02,SUM(H29)*0.01),0)</f>
        <v>0</v>
      </c>
      <c r="N29" s="252"/>
      <c r="O29" s="253">
        <f>(M29*(0.04))</f>
        <v>0</v>
      </c>
      <c r="P29" s="254">
        <f>(M29+O29)*0.22</f>
        <v>0</v>
      </c>
      <c r="Q29" s="255">
        <f>IF(F29="E",G29*12,0)</f>
        <v>0</v>
      </c>
      <c r="R29" s="256">
        <f>BW29*0.22</f>
        <v>0</v>
      </c>
      <c r="S29" s="257">
        <f>IF(F29="E",H29*1.5%,0)</f>
        <v>0</v>
      </c>
      <c r="T29" s="258">
        <f>S29*0.02</f>
        <v>0</v>
      </c>
      <c r="U29" s="259">
        <f>(S29+T29)*0.22</f>
        <v>0</v>
      </c>
      <c r="V29" s="255">
        <f>H29*0.15</f>
        <v>0</v>
      </c>
      <c r="W29" s="253">
        <f>V29*0.04</f>
        <v>0</v>
      </c>
      <c r="X29" s="260">
        <f>0.22*(W29+V29)</f>
        <v>0</v>
      </c>
      <c r="Y29" s="261">
        <f>SUM(K29:X29)-Q29+BW29</f>
        <v>0</v>
      </c>
      <c r="Z29" s="262">
        <f>Y29+H29</f>
        <v>0</v>
      </c>
      <c r="AA29" s="262"/>
      <c r="AB29" s="240"/>
      <c r="AC29" s="240"/>
      <c r="AF29" s="151"/>
      <c r="AG29" s="151"/>
      <c r="AH29" s="241">
        <f>IF($N8="E",$T8,0)</f>
        <v>0</v>
      </c>
      <c r="AI29" s="241">
        <f>IF(OR($F29="E",$F29="E"),$G29,0)</f>
        <v>0</v>
      </c>
      <c r="AJ29" s="241">
        <f>IF(OR($F29="B",$F29="C"),$G29,0)</f>
        <v>0</v>
      </c>
      <c r="AK29" s="241">
        <f>IF($F29="A",$G29,0)</f>
        <v>0</v>
      </c>
      <c r="AL29" s="241">
        <f>IF($N8="A",$F8,0)</f>
        <v>0</v>
      </c>
      <c r="AM29" s="241">
        <f>IF(AND($F29="A",$F8&gt;0),$G29,0)</f>
        <v>0</v>
      </c>
      <c r="AN29" s="241">
        <f>IF($F8&gt;0,$G29,0)</f>
        <v>0</v>
      </c>
      <c r="AQ29" s="242">
        <f>IF($N8="E",$R8/'DATI (2)'!$E$13,0)</f>
        <v>0</v>
      </c>
      <c r="AR29" s="242">
        <f>IF($N8="E",$S8/'DATI (2)'!$E$14,0)</f>
        <v>0</v>
      </c>
      <c r="AS29" s="243">
        <f>($R8)/'DATI (2)'!$E$13</f>
        <v>0</v>
      </c>
      <c r="AT29" s="243">
        <f>$S8/'DATI (2)'!$E$14</f>
        <v>0</v>
      </c>
      <c r="AV29" s="242">
        <f>IF(AND($F29="E",$F8&gt;0),$R8/'DATI (2)'!$E$13,0)</f>
        <v>0</v>
      </c>
      <c r="AW29" s="244">
        <f>IF(AND($F29="E",$F8&gt;0),$Z29,0)</f>
        <v>0</v>
      </c>
      <c r="AX29" s="242">
        <f>IF(AND($F29="E",$F8=0),$R8/'DATI (2)'!$E$13,0)</f>
        <v>0</v>
      </c>
      <c r="AY29" s="244">
        <f>IF(AND($F29="E",$F8=0,R8&gt;0),$Z29*$BT29,0)</f>
        <v>0</v>
      </c>
      <c r="AZ29" s="242">
        <f>IF(AND($F29="E"),$S8/'DATI (2)'!$E$13,0)</f>
        <v>0</v>
      </c>
      <c r="BA29" s="244">
        <f>IF(AND($F29="E",$S8&gt;0),$Z29*$BU29,0)</f>
        <v>0</v>
      </c>
      <c r="BC29" s="242">
        <f>IF(AND(OR($F29="B",$F29="C"),$F8&gt;0),$R8/'DATI (2)'!$E$13,0)</f>
        <v>0</v>
      </c>
      <c r="BD29" s="244">
        <f>IF(AND(AND(OR($F29="B",$F29="C")),$F8&gt;0),$Z29,0)</f>
        <v>0</v>
      </c>
      <c r="BE29" s="242">
        <f>IF(AND(OR($F29="B",$F29="C"),$F8=0),$R8/'DATI (2)'!$E$13,0)</f>
        <v>0</v>
      </c>
      <c r="BF29" s="244">
        <f>IF(AND((OR($F29="B",$F29="C")),$F8=0,R8&gt;0),$Z29*$BT29,0)</f>
        <v>0</v>
      </c>
      <c r="BG29" s="242">
        <f>IF(AND(OR($F29="B",$F29="C")),$S8/'DATI (2)'!$E$13,0)</f>
        <v>0</v>
      </c>
      <c r="BH29" s="244">
        <f>IF(AND((OR($F29="B",$F29="C")),$S8&gt;0),$Z29*$BU29,0)</f>
        <v>0</v>
      </c>
      <c r="BJ29" s="242">
        <f>IF(AND($F29="A",$F8&gt;0),$R8/'DATI (2)'!$E$13,0)</f>
        <v>0</v>
      </c>
      <c r="BK29" s="244">
        <f>IF(AND($F29="a",$F8&gt;0),$Z29,0)</f>
        <v>0</v>
      </c>
      <c r="BL29" s="242">
        <f>IF(AND($F29="A",$F8=0),$R8/'DATI (2)'!$E$13,0)</f>
        <v>0</v>
      </c>
      <c r="BM29" s="244">
        <f>IF(AND($F29="a",$F8=0,R8&gt;0),$Z29*$BT29,0)</f>
        <v>0</v>
      </c>
      <c r="BN29" s="242">
        <f>IF(AND($F29="A"),$S8/'DATI (2)'!$E$13,0)</f>
        <v>0</v>
      </c>
      <c r="BO29" s="244">
        <f>IF(AND($F29="a",$S8&gt;0),$Z29*$BU29,0)</f>
        <v>0</v>
      </c>
      <c r="BQ29" s="245">
        <f>Q8</f>
        <v>0</v>
      </c>
      <c r="BR29" s="245">
        <f>R8/'DATI (2)'!$E$13</f>
        <v>0</v>
      </c>
      <c r="BS29" s="245">
        <f>S8/'DATI (2)'!$E$14</f>
        <v>0</v>
      </c>
      <c r="BT29" s="245" t="e">
        <f>BR29/BQ29</f>
        <v>#DIV/0!</v>
      </c>
      <c r="BU29" s="245" t="e">
        <f>BS29/BQ29</f>
        <v>#DIV/0!</v>
      </c>
      <c r="BW29" s="263">
        <f>IF(F29="E",$Q$41*G29/$AI$41,0)</f>
        <v>0</v>
      </c>
    </row>
    <row r="30" spans="4:75" ht="19.5" customHeight="1">
      <c r="D30" s="246">
        <f>D9</f>
        <v>0</v>
      </c>
      <c r="E30" s="247">
        <f>F9</f>
        <v>0</v>
      </c>
      <c r="F30" s="248">
        <f>N9</f>
        <v>0</v>
      </c>
      <c r="G30" s="249">
        <f>Q9</f>
        <v>0</v>
      </c>
      <c r="H30" s="250">
        <f>AC9</f>
        <v>0</v>
      </c>
      <c r="I30" s="250"/>
      <c r="J30" s="250"/>
      <c r="K30" s="251">
        <f>(H30)*0.1</f>
        <v>0</v>
      </c>
      <c r="L30" s="251"/>
      <c r="M30" s="252">
        <f>IF($C$5="s",IF(SUM($H$41)&lt;=1000000,SUM(H30)*0.02,SUM(H30)*0.01),0)</f>
        <v>0</v>
      </c>
      <c r="N30" s="252"/>
      <c r="O30" s="253">
        <f>(M30*(0.04))</f>
        <v>0</v>
      </c>
      <c r="P30" s="254">
        <f>(M30+O30)*0.22</f>
        <v>0</v>
      </c>
      <c r="Q30" s="255">
        <f>IF(F30="E",G30*12,0)</f>
        <v>0</v>
      </c>
      <c r="R30" s="256">
        <f>BW30*0.22</f>
        <v>0</v>
      </c>
      <c r="S30" s="257">
        <f>IF(F30="E",H30*1.5%,0)</f>
        <v>0</v>
      </c>
      <c r="T30" s="258">
        <f>S30*0.02</f>
        <v>0</v>
      </c>
      <c r="U30" s="259">
        <f>(S30+T30)*0.22</f>
        <v>0</v>
      </c>
      <c r="V30" s="255">
        <f>H30*0.15</f>
        <v>0</v>
      </c>
      <c r="W30" s="253">
        <f>V30*0.04</f>
        <v>0</v>
      </c>
      <c r="X30" s="260">
        <f>0.22*(W30+V30)</f>
        <v>0</v>
      </c>
      <c r="Y30" s="261">
        <f>SUM(K30:X30)-Q30+BW30</f>
        <v>0</v>
      </c>
      <c r="Z30" s="262">
        <f>Y30+H30</f>
        <v>0</v>
      </c>
      <c r="AA30" s="262"/>
      <c r="AB30" s="240"/>
      <c r="AC30" s="240"/>
      <c r="AF30" s="151"/>
      <c r="AG30" s="151"/>
      <c r="AH30" s="241">
        <f>IF($N9="E",$T9,0)</f>
        <v>0</v>
      </c>
      <c r="AI30" s="241">
        <f>IF(OR($F30="E",$F30="E"),$G30,0)</f>
        <v>0</v>
      </c>
      <c r="AJ30" s="241">
        <f>IF(OR($F30="B",$F30="C"),$G30,0)</f>
        <v>0</v>
      </c>
      <c r="AK30" s="241">
        <f>IF($F30="A",$G30,0)</f>
        <v>0</v>
      </c>
      <c r="AL30" s="241">
        <f>IF($N9="A",$F9,0)</f>
        <v>0</v>
      </c>
      <c r="AM30" s="241">
        <f>IF(AND($F30="A",$F9&gt;0),$G30,0)</f>
        <v>0</v>
      </c>
      <c r="AN30" s="241">
        <f>IF($F9&gt;0,$G30,0)</f>
        <v>0</v>
      </c>
      <c r="AQ30" s="242">
        <f>IF($N9="E",$R9/'DATI (2)'!$E$13,0)</f>
        <v>0</v>
      </c>
      <c r="AR30" s="242">
        <f>IF($N9="E",$S9/'DATI (2)'!$E$14,0)</f>
        <v>0</v>
      </c>
      <c r="AS30" s="243">
        <f>($R9)/'DATI (2)'!$E$13</f>
        <v>0</v>
      </c>
      <c r="AT30" s="243">
        <f>$S9/'DATI (2)'!$E$14</f>
        <v>0</v>
      </c>
      <c r="AV30" s="242">
        <f>IF(AND($F30="E",$F9&gt;0),$R9/'DATI (2)'!$E$13,0)</f>
        <v>0</v>
      </c>
      <c r="AW30" s="244">
        <f>IF(AND($F30="E",$F9&gt;0),$Z30,0)</f>
        <v>0</v>
      </c>
      <c r="AX30" s="242">
        <f>IF(AND($F30="E",$F9=0),$R9/'DATI (2)'!$E$13,0)</f>
        <v>0</v>
      </c>
      <c r="AY30" s="244">
        <f>IF(AND($F30="E",$F9=0,R9&gt;0),$Z30*$BT30,0)</f>
        <v>0</v>
      </c>
      <c r="AZ30" s="242">
        <f>IF(AND($F30="E"),$S9/'DATI (2)'!$E$13,0)</f>
        <v>0</v>
      </c>
      <c r="BA30" s="244">
        <f>IF(AND($F30="E",$S9&gt;0),$Z30*$BU30,0)</f>
        <v>0</v>
      </c>
      <c r="BC30" s="242">
        <f>IF(AND(OR($F30="B",$F30="C"),$F9&gt;0),$R9/'DATI (2)'!$E$13,0)</f>
        <v>0</v>
      </c>
      <c r="BD30" s="244">
        <f>IF(AND(AND(OR($F30="B",$F30="C")),$F9&gt;0),$Z30,0)</f>
        <v>0</v>
      </c>
      <c r="BE30" s="242">
        <f>IF(AND(OR($F30="B",$F30="C"),$F9=0),$R9/'DATI (2)'!$E$13,0)</f>
        <v>0</v>
      </c>
      <c r="BF30" s="244">
        <f>IF(AND((OR($F30="B",$F30="C")),$F9=0,R9&gt;0),$Z30*$BT30,0)</f>
        <v>0</v>
      </c>
      <c r="BG30" s="242">
        <f>IF(AND(OR($F30="B",$F30="C")),$S9/'DATI (2)'!$E$13,0)</f>
        <v>0</v>
      </c>
      <c r="BH30" s="244">
        <f>IF(AND((OR($F30="B",$F30="C")),$S9&gt;0),$Z30*$BU30,0)</f>
        <v>0</v>
      </c>
      <c r="BJ30" s="242">
        <f>IF(AND($F30="A",$F9&gt;0),$R9/'DATI (2)'!$E$13,0)</f>
        <v>0</v>
      </c>
      <c r="BK30" s="244">
        <f>IF(AND($F30="a",$F9&gt;0),$Z30*BT30,0)</f>
        <v>0</v>
      </c>
      <c r="BL30" s="242">
        <f>IF(AND($F30="A",$F9=0),$R9/'DATI (2)'!$E$13,0)</f>
        <v>0</v>
      </c>
      <c r="BM30" s="244">
        <f>IF(AND($F30="a",$F9=0,R9&gt;0),$Z30*$BT30,0)</f>
        <v>0</v>
      </c>
      <c r="BN30" s="242">
        <f>IF(AND($F30="A"),$S9/'DATI (2)'!$E$13,0)</f>
        <v>0</v>
      </c>
      <c r="BO30" s="244">
        <f>IF(AND($F30="a",$S9&gt;0),$Z30*$BU30,0)</f>
        <v>0</v>
      </c>
      <c r="BQ30" s="245">
        <f>Q9</f>
        <v>0</v>
      </c>
      <c r="BR30" s="245">
        <f>R9/'DATI (2)'!$E$13</f>
        <v>0</v>
      </c>
      <c r="BS30" s="245">
        <f>S9/'DATI (2)'!$E$14</f>
        <v>0</v>
      </c>
      <c r="BT30" s="245" t="e">
        <f>BR30/BQ30</f>
        <v>#DIV/0!</v>
      </c>
      <c r="BU30" s="245" t="e">
        <f>BS30/BQ30</f>
        <v>#DIV/0!</v>
      </c>
      <c r="BW30" s="263">
        <f>IF(F30="E",$Q$41*G30/$AI$41,0)</f>
        <v>0</v>
      </c>
    </row>
    <row r="31" spans="4:75" ht="19.5" customHeight="1">
      <c r="D31" s="246">
        <f>D10</f>
        <v>0</v>
      </c>
      <c r="E31" s="247">
        <f>F10</f>
        <v>0</v>
      </c>
      <c r="F31" s="248">
        <f>N10</f>
        <v>0</v>
      </c>
      <c r="G31" s="249">
        <f>Q10</f>
        <v>0</v>
      </c>
      <c r="H31" s="250">
        <f>AC10</f>
        <v>0</v>
      </c>
      <c r="I31" s="250"/>
      <c r="J31" s="250"/>
      <c r="K31" s="251">
        <f>(H31)*0.1</f>
        <v>0</v>
      </c>
      <c r="L31" s="251"/>
      <c r="M31" s="252">
        <f>IF($C$5="s",IF(SUM($H$41)&lt;=1000000,SUM(H31)*0.02,SUM(H31)*0.01),0)</f>
        <v>0</v>
      </c>
      <c r="N31" s="252"/>
      <c r="O31" s="253">
        <f>(M31*(0.04))</f>
        <v>0</v>
      </c>
      <c r="P31" s="254">
        <f>(M31+O31)*0.22</f>
        <v>0</v>
      </c>
      <c r="Q31" s="255">
        <f>IF(F31="E",G31*12,0)</f>
        <v>0</v>
      </c>
      <c r="R31" s="256">
        <f>BW31*0.22</f>
        <v>0</v>
      </c>
      <c r="S31" s="257">
        <f>IF(F31="E",H31*1.5%,0)</f>
        <v>0</v>
      </c>
      <c r="T31" s="258">
        <f>S31*0.02</f>
        <v>0</v>
      </c>
      <c r="U31" s="259">
        <f>(S31+T31)*0.22</f>
        <v>0</v>
      </c>
      <c r="V31" s="255">
        <f>H31*0.15</f>
        <v>0</v>
      </c>
      <c r="W31" s="253">
        <f>V31*0.04</f>
        <v>0</v>
      </c>
      <c r="X31" s="260">
        <f>0.22*(W31+V31)</f>
        <v>0</v>
      </c>
      <c r="Y31" s="261">
        <f>SUM(K31:X31)-Q31+BW31</f>
        <v>0</v>
      </c>
      <c r="Z31" s="262">
        <f>Y31+H31</f>
        <v>0</v>
      </c>
      <c r="AA31" s="262"/>
      <c r="AB31" s="240"/>
      <c r="AC31" s="240"/>
      <c r="AF31" s="151"/>
      <c r="AG31" s="151"/>
      <c r="AH31" s="241">
        <f>IF($N10="E",$T10,0)</f>
        <v>0</v>
      </c>
      <c r="AI31" s="241">
        <f>IF(OR($F31="E",$F31="E"),$G31,0)</f>
        <v>0</v>
      </c>
      <c r="AJ31" s="241">
        <f>IF(OR($F31="B",$F31="C"),$G31,0)</f>
        <v>0</v>
      </c>
      <c r="AK31" s="241">
        <f>IF($F31="A",$G31,0)</f>
        <v>0</v>
      </c>
      <c r="AL31" s="241">
        <f>IF($N10="A",$F10,0)</f>
        <v>0</v>
      </c>
      <c r="AM31" s="241">
        <f>IF(AND($F31="A",$F10&gt;0),$G31,0)</f>
        <v>0</v>
      </c>
      <c r="AN31" s="241">
        <f>IF($F10&gt;0,$G31,0)</f>
        <v>0</v>
      </c>
      <c r="AQ31" s="242">
        <f>IF($N10="E",$R10/'DATI (2)'!$E$13,0)</f>
        <v>0</v>
      </c>
      <c r="AR31" s="242">
        <f>IF($N10="E",$S10/'DATI (2)'!$E$14,0)</f>
        <v>0</v>
      </c>
      <c r="AS31" s="243">
        <f>($R10)/'DATI (2)'!$E$13</f>
        <v>0</v>
      </c>
      <c r="AT31" s="243">
        <f>$S10/'DATI (2)'!$E$14</f>
        <v>0</v>
      </c>
      <c r="AV31" s="242">
        <f>IF(AND($F31="E",$F10&gt;0),$R10/'DATI (2)'!$E$13,0)</f>
        <v>0</v>
      </c>
      <c r="AW31" s="244">
        <f>IF(AND($F31="E",$F10&gt;0),$Z31,0)</f>
        <v>0</v>
      </c>
      <c r="AX31" s="242">
        <f>IF(AND($F31="E",$F10=0),$R10/'DATI (2)'!$E$13,0)</f>
        <v>0</v>
      </c>
      <c r="AY31" s="244">
        <f>IF(AND($F31="E",$F10=0,R10&gt;0),$Z31*$BT31,0)</f>
        <v>0</v>
      </c>
      <c r="AZ31" s="242">
        <f>IF(AND($F31="E"),$S10/'DATI (2)'!$E$13,0)</f>
        <v>0</v>
      </c>
      <c r="BA31" s="244">
        <f>IF(AND($F31="E",$S10&gt;0),$Z31*$BU31,0)</f>
        <v>0</v>
      </c>
      <c r="BB31" s="264"/>
      <c r="BC31" s="242">
        <f>IF(AND(OR($F31="B",$F31="C"),$F10&gt;0),$R10/'DATI (2)'!$E$13,0)</f>
        <v>0</v>
      </c>
      <c r="BD31" s="244">
        <f>IF(AND(AND(OR($F31="B",$F31="C")),$F10&gt;0),$Z31,0)</f>
        <v>0</v>
      </c>
      <c r="BE31" s="242">
        <f>IF(AND(OR($F31="B",$F31="C"),$F10=0),$R10/'DATI (2)'!$E$13,0)</f>
        <v>0</v>
      </c>
      <c r="BF31" s="244">
        <f>IF(AND((OR($F31="B",$F31="C")),$F10=0,R10&gt;0),$Z31*$BT31,0)</f>
        <v>0</v>
      </c>
      <c r="BG31" s="242">
        <f>IF(AND(OR($F31="B",$F31="C")),$S10/'DATI (2)'!$E$13,0)</f>
        <v>0</v>
      </c>
      <c r="BH31" s="244">
        <f>IF(AND((OR($F31="B",$F31="C")),$S10&gt;0),$Z31*$BU31,0)</f>
        <v>0</v>
      </c>
      <c r="BJ31" s="242">
        <f>IF(AND($F31="A",$F10&gt;0),$R10/'DATI (2)'!$E$13,0)</f>
        <v>0</v>
      </c>
      <c r="BK31" s="244">
        <f>IF(AND($F31="a",$F10&gt;0),$Z31,0)</f>
        <v>0</v>
      </c>
      <c r="BL31" s="242">
        <f>IF(AND($F31="A",$F10=0),$R10/'DATI (2)'!$E$13,0)</f>
        <v>0</v>
      </c>
      <c r="BM31" s="244">
        <f>IF(AND($F31="a",$F10=0,R10&gt;0),$Z31*$BT31,0)</f>
        <v>0</v>
      </c>
      <c r="BN31" s="242">
        <f>IF(AND($F31="A"),$S10/'DATI (2)'!$E$13,0)</f>
        <v>0</v>
      </c>
      <c r="BO31" s="244">
        <f>IF(AND($F31="a",$S10&gt;0),$Z31*$BU31,0)</f>
        <v>0</v>
      </c>
      <c r="BQ31" s="245">
        <f>Q10</f>
        <v>0</v>
      </c>
      <c r="BR31" s="245">
        <f>R10/'DATI (2)'!$E$13</f>
        <v>0</v>
      </c>
      <c r="BS31" s="245">
        <f>S10/'DATI (2)'!$E$14</f>
        <v>0</v>
      </c>
      <c r="BT31" s="245" t="e">
        <f>BR31/BQ31</f>
        <v>#DIV/0!</v>
      </c>
      <c r="BU31" s="245" t="e">
        <f>BS31/BQ31</f>
        <v>#DIV/0!</v>
      </c>
      <c r="BW31" s="263">
        <f>IF(F31="E",$Q$41*G31/$AI$41,0)</f>
        <v>0</v>
      </c>
    </row>
    <row r="32" spans="4:75" ht="19.5" customHeight="1">
      <c r="D32" s="246">
        <f>D11</f>
        <v>0</v>
      </c>
      <c r="E32" s="247">
        <f>F11</f>
        <v>0</v>
      </c>
      <c r="F32" s="248">
        <f>N11</f>
        <v>0</v>
      </c>
      <c r="G32" s="249">
        <f>Q11</f>
        <v>0</v>
      </c>
      <c r="H32" s="250">
        <f>AC11</f>
        <v>0</v>
      </c>
      <c r="I32" s="250"/>
      <c r="J32" s="250"/>
      <c r="K32" s="251">
        <f>(H32)*0.1</f>
        <v>0</v>
      </c>
      <c r="L32" s="251"/>
      <c r="M32" s="252">
        <f>IF($C$5="s",IF(SUM($H$41)&lt;=1000000,SUM(H32)*0.02,SUM(H32)*0.01),0)</f>
        <v>0</v>
      </c>
      <c r="N32" s="252"/>
      <c r="O32" s="253">
        <f>(M32*(0.04))</f>
        <v>0</v>
      </c>
      <c r="P32" s="254">
        <f>(M32+O32)*0.22</f>
        <v>0</v>
      </c>
      <c r="Q32" s="255">
        <f>IF(F32="E",G32*12,0)</f>
        <v>0</v>
      </c>
      <c r="R32" s="256">
        <f>BW32*0.22</f>
        <v>0</v>
      </c>
      <c r="S32" s="257">
        <f>IF(F32="E",H32*1.5%,0)</f>
        <v>0</v>
      </c>
      <c r="T32" s="258">
        <f>S32*0.02</f>
        <v>0</v>
      </c>
      <c r="U32" s="259">
        <f>(S32+T32)*0.22</f>
        <v>0</v>
      </c>
      <c r="V32" s="255">
        <f>H32*0.15</f>
        <v>0</v>
      </c>
      <c r="W32" s="253">
        <f>V32*0.04</f>
        <v>0</v>
      </c>
      <c r="X32" s="260">
        <f>0.22*(W32+V32)</f>
        <v>0</v>
      </c>
      <c r="Y32" s="261">
        <f>SUM(K32:X32)-Q32+BW32</f>
        <v>0</v>
      </c>
      <c r="Z32" s="262">
        <f>Y32+H32</f>
        <v>0</v>
      </c>
      <c r="AA32" s="262"/>
      <c r="AB32" s="240"/>
      <c r="AC32" s="240"/>
      <c r="AF32" s="151"/>
      <c r="AG32" s="151"/>
      <c r="AH32" s="241">
        <f>IF($N11="E",$T11,0)</f>
        <v>0</v>
      </c>
      <c r="AI32" s="241">
        <f>IF(OR($F32="E",$F32="E"),$G32,0)</f>
        <v>0</v>
      </c>
      <c r="AJ32" s="241">
        <f>IF(OR($F32="B",$F32="C"),$G32,0)</f>
        <v>0</v>
      </c>
      <c r="AK32" s="241">
        <f>IF($F32="A",$G32,0)</f>
        <v>0</v>
      </c>
      <c r="AL32" s="241">
        <f>IF($N11="A",$F11,0)</f>
        <v>0</v>
      </c>
      <c r="AM32" s="241">
        <f>IF(AND($F32="A",$F11&gt;0),$G32,0)</f>
        <v>0</v>
      </c>
      <c r="AN32" s="241">
        <f>IF($F11&gt;0,$G32,0)</f>
        <v>0</v>
      </c>
      <c r="AQ32" s="242">
        <f>IF($N11="E",$R11/'DATI (2)'!$E$13,0)</f>
        <v>0</v>
      </c>
      <c r="AR32" s="242">
        <f>IF($N11="E",$S11/'DATI (2)'!$E$14,0)</f>
        <v>0</v>
      </c>
      <c r="AS32" s="243">
        <f>($R11)/'DATI (2)'!$E$13</f>
        <v>0</v>
      </c>
      <c r="AT32" s="243">
        <f>$S11/'DATI (2)'!$E$14</f>
        <v>0</v>
      </c>
      <c r="AV32" s="242">
        <f>IF(AND($F32="E",$F11&gt;0),$R11/'DATI (2)'!$E$13,0)</f>
        <v>0</v>
      </c>
      <c r="AW32" s="244">
        <f>IF(AND($F32="E",$F11&gt;0),$Z32,0)</f>
        <v>0</v>
      </c>
      <c r="AX32" s="242">
        <f>IF(AND($F32="E",$F11=0),$R11/'DATI (2)'!$E$13,0)</f>
        <v>0</v>
      </c>
      <c r="AY32" s="244">
        <f>IF(AND($F32="E",$F11=0,R11&gt;0),$Z32*$BT32,0)</f>
        <v>0</v>
      </c>
      <c r="AZ32" s="242">
        <f>IF(AND($F32="E"),$S11/'DATI (2)'!$E$13,0)</f>
        <v>0</v>
      </c>
      <c r="BA32" s="244">
        <f>IF(AND($F32="E",$S11&gt;0),$Z32*$BU32,0)</f>
        <v>0</v>
      </c>
      <c r="BC32" s="242">
        <f>IF(AND(OR($F32="B",$F32="C"),$F11&gt;0),$R11/'DATI (2)'!$E$13,0)</f>
        <v>0</v>
      </c>
      <c r="BD32" s="244">
        <f>IF(AND(AND(OR($F32="B",$F32="C")),$F11&gt;0),$Z32,0)</f>
        <v>0</v>
      </c>
      <c r="BE32" s="242">
        <f>IF(AND(OR($F32="B",$F32="C"),$F11=0),$R11/'DATI (2)'!$E$13,0)</f>
        <v>0</v>
      </c>
      <c r="BF32" s="244">
        <f>IF(AND((OR($F32="B",$F32="C")),$F11=0,R11&gt;0),$Z32*$BT32,0)</f>
        <v>0</v>
      </c>
      <c r="BG32" s="242">
        <f>IF(AND(OR($F32="B",$F32="C")),$S11/'DATI (2)'!$E$13,0)</f>
        <v>0</v>
      </c>
      <c r="BH32" s="244">
        <f>IF(AND((OR($F32="B",$F32="C")),$S11&gt;0),$Z32*$BU32,0)</f>
        <v>0</v>
      </c>
      <c r="BJ32" s="242">
        <f>IF(AND($F32="A",$F11&gt;0),$R11/'DATI (2)'!$E$13,0)</f>
        <v>0</v>
      </c>
      <c r="BK32" s="244">
        <f>IF(AND($F32="a",$F11&gt;0),$Z32,0)</f>
        <v>0</v>
      </c>
      <c r="BL32" s="242">
        <f>IF(AND($F32="A",$F11=0),$R11/'DATI (2)'!$E$13,0)</f>
        <v>0</v>
      </c>
      <c r="BM32" s="244">
        <f>IF(AND($F32="a",$F11=0,R11&gt;0),$Z32*$BT32,0)</f>
        <v>0</v>
      </c>
      <c r="BN32" s="242">
        <f>IF(AND($F32="A"),$S11/'DATI (2)'!$E$13,0)</f>
        <v>0</v>
      </c>
      <c r="BO32" s="244">
        <f>IF(AND($F32="a",$S11&gt;0),$Z32*$BU32,0)</f>
        <v>0</v>
      </c>
      <c r="BQ32" s="245">
        <f>Q11</f>
        <v>0</v>
      </c>
      <c r="BR32" s="245">
        <f>R11/'DATI (2)'!$E$13</f>
        <v>0</v>
      </c>
      <c r="BS32" s="245">
        <f>S11/'DATI (2)'!$E$14</f>
        <v>0</v>
      </c>
      <c r="BT32" s="245" t="e">
        <f>BR32/BQ32</f>
        <v>#DIV/0!</v>
      </c>
      <c r="BU32" s="245" t="e">
        <f>BS32/BQ32</f>
        <v>#DIV/0!</v>
      </c>
      <c r="BW32" s="68">
        <f>IF(F32="E",$Q$41*G32/$AI$41,0)</f>
        <v>0</v>
      </c>
    </row>
    <row r="33" spans="4:75" ht="19.5" customHeight="1">
      <c r="D33" s="246">
        <f>D12</f>
        <v>0</v>
      </c>
      <c r="E33" s="247">
        <f>F12</f>
        <v>0</v>
      </c>
      <c r="F33" s="248">
        <f>N12</f>
        <v>0</v>
      </c>
      <c r="G33" s="249">
        <f>Q12</f>
        <v>0</v>
      </c>
      <c r="H33" s="250">
        <f>AC12</f>
        <v>0</v>
      </c>
      <c r="I33" s="250"/>
      <c r="J33" s="250"/>
      <c r="K33" s="251">
        <f>(H33)*0.1</f>
        <v>0</v>
      </c>
      <c r="L33" s="251"/>
      <c r="M33" s="252">
        <f>IF($C$5="s",IF(SUM($H$41)&lt;=1000000,SUM(H33)*0.02,SUM(H33)*0.01),0)</f>
        <v>0</v>
      </c>
      <c r="N33" s="252"/>
      <c r="O33" s="253">
        <f>(M33*(0.04))</f>
        <v>0</v>
      </c>
      <c r="P33" s="254">
        <f>(M33+O33)*0.22</f>
        <v>0</v>
      </c>
      <c r="Q33" s="255">
        <f>IF(F33="E",G33*12,0)</f>
        <v>0</v>
      </c>
      <c r="R33" s="256">
        <f>BW33*0.22</f>
        <v>0</v>
      </c>
      <c r="S33" s="257">
        <f>IF(F33="E",H33*1.5%,0)</f>
        <v>0</v>
      </c>
      <c r="T33" s="258">
        <f>S33*0.02</f>
        <v>0</v>
      </c>
      <c r="U33" s="259">
        <f>(S33+T33)*0.22</f>
        <v>0</v>
      </c>
      <c r="V33" s="255">
        <f>H33*0.15</f>
        <v>0</v>
      </c>
      <c r="W33" s="253">
        <f>V33*0.04</f>
        <v>0</v>
      </c>
      <c r="X33" s="260">
        <f>0.22*(W33+V33)</f>
        <v>0</v>
      </c>
      <c r="Y33" s="261">
        <f>SUM(K33:X33)-Q33+BW33</f>
        <v>0</v>
      </c>
      <c r="Z33" s="262">
        <f>Y33+H33</f>
        <v>0</v>
      </c>
      <c r="AA33" s="262"/>
      <c r="AB33" s="240"/>
      <c r="AC33" s="240"/>
      <c r="AF33" s="151"/>
      <c r="AG33" s="151"/>
      <c r="AH33" s="241">
        <f>IF($N12="E",$T12,0)</f>
        <v>0</v>
      </c>
      <c r="AI33" s="241">
        <f>IF(OR($F33="E",$F33="E"),$G33,0)</f>
        <v>0</v>
      </c>
      <c r="AJ33" s="241">
        <f>IF(OR($F33="B",$F33="C"),$G33,0)</f>
        <v>0</v>
      </c>
      <c r="AK33" s="241">
        <f>IF($F33="A",$G33,0)</f>
        <v>0</v>
      </c>
      <c r="AL33" s="241">
        <f>IF($N12="A",$F12,0)</f>
        <v>0</v>
      </c>
      <c r="AM33" s="241">
        <f>IF(AND($F33="A",$F12&gt;0),$G33,0)</f>
        <v>0</v>
      </c>
      <c r="AN33" s="241">
        <f>IF($F12&gt;0,$G33,0)</f>
        <v>0</v>
      </c>
      <c r="AQ33" s="242">
        <f>IF($N12="E",$R12/'DATI (2)'!$E$13,0)</f>
        <v>0</v>
      </c>
      <c r="AR33" s="242">
        <f>IF($N12="E",$S12/'DATI (2)'!$E$14,0)</f>
        <v>0</v>
      </c>
      <c r="AS33" s="243">
        <f>($R12)/'DATI (2)'!$E$13</f>
        <v>0</v>
      </c>
      <c r="AT33" s="243">
        <f>$S12/'DATI (2)'!$E$14</f>
        <v>0</v>
      </c>
      <c r="AV33" s="242">
        <f>IF(AND($F33="E",$F12&gt;0),$R12/'DATI (2)'!$E$13,0)</f>
        <v>0</v>
      </c>
      <c r="AW33" s="244">
        <f>IF(AND($F33="E",$F12&gt;0),$Z33,0)</f>
        <v>0</v>
      </c>
      <c r="AX33" s="242">
        <f>IF(AND($F33="E",$F12=0),$R12/'DATI (2)'!$E$13,0)</f>
        <v>0</v>
      </c>
      <c r="AY33" s="244">
        <f>IF(AND($F33="E",$F12=0,R12&gt;0),$Z33*$BT33,0)</f>
        <v>0</v>
      </c>
      <c r="AZ33" s="242">
        <f>IF(AND($F33="E"),$S12/'DATI (2)'!$E$13,0)</f>
        <v>0</v>
      </c>
      <c r="BA33" s="244">
        <f>IF(AND($F33="E",$S12&gt;0),$Z33*$BU33,0)</f>
        <v>0</v>
      </c>
      <c r="BC33" s="242">
        <f>IF(AND(OR($F33="B",$F33="C"),$F12&gt;0),$R12/'DATI (2)'!$E$13,0)</f>
        <v>0</v>
      </c>
      <c r="BD33" s="244">
        <f>IF(AND(AND(OR($F33="B",$F33="C")),$F12&gt;0),$Z33,0)</f>
        <v>0</v>
      </c>
      <c r="BE33" s="242">
        <f>IF(AND(OR($F33="B",$F33="C"),$F12=0),$R12/'DATI (2)'!$E$13,0)</f>
        <v>0</v>
      </c>
      <c r="BF33" s="244">
        <f>IF(AND((OR($F33="B",$F33="C")),$F12=0,R12&gt;0),$Z33*$BT33,0)</f>
        <v>0</v>
      </c>
      <c r="BG33" s="242">
        <f>IF(AND(OR($F33="B",$F33="C")),$S12/'DATI (2)'!$E$13,0)</f>
        <v>0</v>
      </c>
      <c r="BH33" s="244">
        <f>IF(AND((OR($F33="B",$F33="C")),$S12&gt;0),$Z33*$BU33,0)</f>
        <v>0</v>
      </c>
      <c r="BJ33" s="242">
        <f>IF(AND($F33="A",$F12&gt;0),$R12/'DATI (2)'!$E$13,0)</f>
        <v>0</v>
      </c>
      <c r="BK33" s="244">
        <f>IF(AND($F33="a",$F12&gt;0),$Z33,0)</f>
        <v>0</v>
      </c>
      <c r="BL33" s="242">
        <f>IF(AND($F33="A",$F12=0),$R12/'DATI (2)'!$E$13,0)</f>
        <v>0</v>
      </c>
      <c r="BM33" s="244">
        <f>IF(AND($F33="a",$F12=0,R12&gt;0),$Z33*$BT33,0)</f>
        <v>0</v>
      </c>
      <c r="BN33" s="242">
        <f>IF(AND($F33="A"),$S12/'DATI (2)'!$E$13,0)</f>
        <v>0</v>
      </c>
      <c r="BO33" s="244">
        <f>IF(AND($F33="a",$S12&gt;0),$Z33*$BU33,0)</f>
        <v>0</v>
      </c>
      <c r="BQ33" s="245">
        <f>Q12</f>
        <v>0</v>
      </c>
      <c r="BR33" s="245">
        <f>R12/'DATI (2)'!$E$13</f>
        <v>0</v>
      </c>
      <c r="BS33" s="245">
        <f>S12/'DATI (2)'!$E$14</f>
        <v>0</v>
      </c>
      <c r="BT33" s="245" t="e">
        <f>BR33/BQ33</f>
        <v>#DIV/0!</v>
      </c>
      <c r="BU33" s="245" t="e">
        <f>BS33/BQ33</f>
        <v>#DIV/0!</v>
      </c>
      <c r="BW33" s="68">
        <f>IF(F33="E",$Q$41*G33/$AI$41,0)</f>
        <v>0</v>
      </c>
    </row>
    <row r="34" spans="4:75" ht="19.5" customHeight="1">
      <c r="D34" s="246">
        <f>D13</f>
        <v>0</v>
      </c>
      <c r="E34" s="247">
        <f>F13</f>
        <v>0</v>
      </c>
      <c r="F34" s="248">
        <f>N13</f>
        <v>0</v>
      </c>
      <c r="G34" s="249">
        <f>Q13</f>
        <v>0</v>
      </c>
      <c r="H34" s="250">
        <f>AC13</f>
        <v>0</v>
      </c>
      <c r="I34" s="250"/>
      <c r="J34" s="250"/>
      <c r="K34" s="251">
        <f>(H34)*0.1</f>
        <v>0</v>
      </c>
      <c r="L34" s="251"/>
      <c r="M34" s="252">
        <f>IF($C$5="s",IF(SUM($H$41)&lt;=1000000,SUM(H34)*0.02,SUM(H34)*0.01),0)</f>
        <v>0</v>
      </c>
      <c r="N34" s="252"/>
      <c r="O34" s="253">
        <f>(M34*(0.04))</f>
        <v>0</v>
      </c>
      <c r="P34" s="254">
        <f>(M34+O34)*0.22</f>
        <v>0</v>
      </c>
      <c r="Q34" s="255">
        <f>IF(F34="E",G34*12,0)</f>
        <v>0</v>
      </c>
      <c r="R34" s="256">
        <f>BW34*0.22</f>
        <v>0</v>
      </c>
      <c r="S34" s="257"/>
      <c r="T34" s="258"/>
      <c r="U34" s="259">
        <f>(S34+T34)*0.22</f>
        <v>0</v>
      </c>
      <c r="V34" s="255">
        <f>H34*0.15</f>
        <v>0</v>
      </c>
      <c r="W34" s="253">
        <f>V34*0.04</f>
        <v>0</v>
      </c>
      <c r="X34" s="260">
        <f>0.22*(W34+V34)</f>
        <v>0</v>
      </c>
      <c r="Y34" s="261">
        <f>SUM(K34:X34)-Q34+BW34</f>
        <v>0</v>
      </c>
      <c r="Z34" s="262">
        <f>Y34+H34</f>
        <v>0</v>
      </c>
      <c r="AA34" s="262"/>
      <c r="AB34" s="240"/>
      <c r="AC34" s="240"/>
      <c r="AF34" s="151"/>
      <c r="AG34" s="151"/>
      <c r="AH34" s="241">
        <f>IF($N13="E",$T13,0)</f>
        <v>0</v>
      </c>
      <c r="AI34" s="241">
        <f>IF(OR($F34="E",$F34="E"),$G34,0)</f>
        <v>0</v>
      </c>
      <c r="AJ34" s="241">
        <f>IF(OR($F34="B",$F34="C"),$G34,0)</f>
        <v>0</v>
      </c>
      <c r="AK34" s="241">
        <f>IF($F34="A",$G34,0)</f>
        <v>0</v>
      </c>
      <c r="AL34" s="241">
        <f>IF($N13="A",$F13,0)</f>
        <v>0</v>
      </c>
      <c r="AM34" s="241">
        <f>IF(AND($F34="A",$F13&gt;0),$G34,0)</f>
        <v>0</v>
      </c>
      <c r="AN34" s="241">
        <f>IF($F13&gt;0,$G34,0)</f>
        <v>0</v>
      </c>
      <c r="AQ34" s="242">
        <f>IF($N13="E",$R13/'DATI (2)'!$E$13,0)</f>
        <v>0</v>
      </c>
      <c r="AR34" s="242">
        <f>IF($N13="E",$S13/'DATI (2)'!$E$14,0)</f>
        <v>0</v>
      </c>
      <c r="AS34" s="243">
        <f>($R13)/'DATI (2)'!$E$13</f>
        <v>0</v>
      </c>
      <c r="AT34" s="243">
        <f>$S13/'DATI (2)'!$E$14</f>
        <v>0</v>
      </c>
      <c r="AV34" s="242">
        <f>IF(AND($F34="E",$F13&gt;0),$R13/'DATI (2)'!$E$13,0)</f>
        <v>0</v>
      </c>
      <c r="AW34" s="244">
        <f>IF(AND($F34="E",$F13&gt;0),$Z34,0)</f>
        <v>0</v>
      </c>
      <c r="AX34" s="242">
        <f>IF(AND($F34="E",$F13=0),$R13/'DATI (2)'!$E$13,0)</f>
        <v>0</v>
      </c>
      <c r="AY34" s="244">
        <f>IF(AND($F34="E",$F13=0,R13&gt;0),$Z34*$BT34,0)</f>
        <v>0</v>
      </c>
      <c r="AZ34" s="242">
        <f>IF(AND($F34="E"),$S13/'DATI (2)'!$E$13,0)</f>
        <v>0</v>
      </c>
      <c r="BA34" s="244">
        <f>IF(AND($F34="E",$S13&gt;0),$Z34*$BU34,0)</f>
        <v>0</v>
      </c>
      <c r="BC34" s="242">
        <f>IF(AND(OR($F34="B",$F34="C"),$F13&gt;0),$R13/'DATI (2)'!$E$13,0)</f>
        <v>0</v>
      </c>
      <c r="BD34" s="244">
        <f>IF(AND(AND(OR($F34="B",$F34="C")),$F13&gt;0),$Z34,0)</f>
        <v>0</v>
      </c>
      <c r="BE34" s="242">
        <f>IF(AND(OR($F34="B",$F34="C"),$F13=0),$R13/'DATI (2)'!$E$13,0)</f>
        <v>0</v>
      </c>
      <c r="BF34" s="244">
        <f>IF(AND((OR($F34="B",$F34="C")),$F13=0,R13&gt;0),$Z34*$BT34,0)</f>
        <v>0</v>
      </c>
      <c r="BG34" s="242">
        <f>IF(AND(OR($F34="B",$F34="C")),$S13/'DATI (2)'!$E$13,0)</f>
        <v>0</v>
      </c>
      <c r="BH34" s="244">
        <f>IF(AND((OR($F34="B",$F34="C")),$S13&gt;0),$Z34*$BU34,0)</f>
        <v>0</v>
      </c>
      <c r="BJ34" s="242">
        <f>IF(AND($F34="A",$F13&gt;0),$R13/'DATI (2)'!$E$13,0)</f>
        <v>0</v>
      </c>
      <c r="BK34" s="244">
        <f>IF(AND($F34="a",$F13&gt;0),$Z34,0)</f>
        <v>0</v>
      </c>
      <c r="BL34" s="242">
        <f>IF(AND($F34="A",$F13=0),$R13/'DATI (2)'!$E$13,0)</f>
        <v>0</v>
      </c>
      <c r="BM34" s="244">
        <f>IF(AND($F34="a",$F13=0,R13&gt;0),$Z34*$BT34,0)</f>
        <v>0</v>
      </c>
      <c r="BN34" s="242">
        <f>IF(AND($F34="A"),$S13/'DATI (2)'!$E$13,0)</f>
        <v>0</v>
      </c>
      <c r="BO34" s="244">
        <f>IF(AND($F34="a",$S13&gt;0),$Z34*$BU34,0)</f>
        <v>0</v>
      </c>
      <c r="BQ34" s="245">
        <f>Q13</f>
        <v>0</v>
      </c>
      <c r="BR34" s="245">
        <f>R13/'DATI (2)'!$E$13</f>
        <v>0</v>
      </c>
      <c r="BS34" s="245">
        <f>S13/'DATI (2)'!$E$14</f>
        <v>0</v>
      </c>
      <c r="BT34" s="245" t="e">
        <f>BR34/BQ34</f>
        <v>#DIV/0!</v>
      </c>
      <c r="BU34" s="245" t="e">
        <f>BS34/BQ34</f>
        <v>#DIV/0!</v>
      </c>
      <c r="BW34" s="68">
        <f>IF(F34="E",$Q$41*G34/$AI$41,0)</f>
        <v>0</v>
      </c>
    </row>
    <row r="35" spans="4:75" ht="19.5" customHeight="1">
      <c r="D35" s="246">
        <f>D14</f>
        <v>0</v>
      </c>
      <c r="E35" s="247">
        <f>F14</f>
        <v>0</v>
      </c>
      <c r="F35" s="248">
        <f>N14</f>
        <v>0</v>
      </c>
      <c r="G35" s="249">
        <f>Q14</f>
        <v>0</v>
      </c>
      <c r="H35" s="250">
        <f>AC14</f>
        <v>0</v>
      </c>
      <c r="I35" s="250"/>
      <c r="J35" s="250"/>
      <c r="K35" s="251">
        <f>(H35)*0.1</f>
        <v>0</v>
      </c>
      <c r="L35" s="251"/>
      <c r="M35" s="252">
        <f>IF($C$5="s",IF(SUM($H$41)&lt;=1000000,SUM(H35)*0.02,SUM(H35)*0.01),0)</f>
        <v>0</v>
      </c>
      <c r="N35" s="252"/>
      <c r="O35" s="253">
        <f>(M35*(0.04))</f>
        <v>0</v>
      </c>
      <c r="P35" s="254">
        <f>(M35+O35)*0.22</f>
        <v>0</v>
      </c>
      <c r="Q35" s="255">
        <f>IF(F35="E",G35*12,0)</f>
        <v>0</v>
      </c>
      <c r="R35" s="256">
        <f>BW35*0.22</f>
        <v>0</v>
      </c>
      <c r="S35" s="257"/>
      <c r="T35" s="258"/>
      <c r="U35" s="259">
        <f>(S35+T35)*0.22</f>
        <v>0</v>
      </c>
      <c r="V35" s="255">
        <f>H35*0.15</f>
        <v>0</v>
      </c>
      <c r="W35" s="253">
        <f>V35*0.04</f>
        <v>0</v>
      </c>
      <c r="X35" s="260">
        <f>0.22*(W35+V35)</f>
        <v>0</v>
      </c>
      <c r="Y35" s="261">
        <f>SUM(K35:X35)-Q35+BW35</f>
        <v>0</v>
      </c>
      <c r="Z35" s="262">
        <f>Y35+H35</f>
        <v>0</v>
      </c>
      <c r="AA35" s="262"/>
      <c r="AB35" s="240"/>
      <c r="AC35" s="240"/>
      <c r="AF35" s="151"/>
      <c r="AG35" s="151"/>
      <c r="AH35" s="241">
        <f>IF($N14="E",$T14,0)</f>
        <v>0</v>
      </c>
      <c r="AI35" s="241">
        <f>IF(OR($F35="E",$F35="E"),$G35,0)</f>
        <v>0</v>
      </c>
      <c r="AJ35" s="241">
        <f>IF(OR($F35="B",$F35="C"),$G35,0)</f>
        <v>0</v>
      </c>
      <c r="AK35" s="241">
        <f>IF($F35="A",$G35,0)</f>
        <v>0</v>
      </c>
      <c r="AL35" s="241">
        <f>IF($N14="A",$F14,0)</f>
        <v>0</v>
      </c>
      <c r="AM35" s="241">
        <f>IF(AND($F35="A",$F14&gt;0),$G35,0)</f>
        <v>0</v>
      </c>
      <c r="AN35" s="241">
        <f>IF($F14&gt;0,$G35,0)</f>
        <v>0</v>
      </c>
      <c r="AQ35" s="242">
        <f>IF($N14="E",$R14/'DATI (2)'!$E$13,0)</f>
        <v>0</v>
      </c>
      <c r="AR35" s="242">
        <f>IF($N14="E",$S14/'DATI (2)'!$E$14,0)</f>
        <v>0</v>
      </c>
      <c r="AS35" s="243">
        <f>($R14)/'DATI (2)'!$E$13</f>
        <v>0</v>
      </c>
      <c r="AT35" s="243">
        <f>$S14/'DATI (2)'!$E$14</f>
        <v>0</v>
      </c>
      <c r="AV35" s="242">
        <f>IF(AND($F35="E",$F14&gt;0),$R14/'DATI (2)'!$E$13,0)</f>
        <v>0</v>
      </c>
      <c r="AW35" s="244">
        <f>IF(AND($F35="E",$F14&gt;0),$Z35,0)</f>
        <v>0</v>
      </c>
      <c r="AX35" s="242">
        <f>IF(AND($F35="E",$F14=0),$R14/'DATI (2)'!$E$13,0)</f>
        <v>0</v>
      </c>
      <c r="AY35" s="244">
        <f>IF(AND($F35="E",$F14=0,R14&gt;0),$Z35*$BT35,0)</f>
        <v>0</v>
      </c>
      <c r="AZ35" s="242">
        <f>IF(AND($F35="E"),$S14/'DATI (2)'!$E$13,0)</f>
        <v>0</v>
      </c>
      <c r="BA35" s="244">
        <f>IF(AND($F35="E",$S14&gt;0),$Z35*$BU35,0)</f>
        <v>0</v>
      </c>
      <c r="BC35" s="242">
        <f>IF(AND(OR($F35="B",$F35="C"),$F14&gt;0),$R14/'DATI (2)'!$E$13,0)</f>
        <v>0</v>
      </c>
      <c r="BD35" s="244">
        <f>IF(AND(AND(OR($F35="B",$F35="C")),$F14&gt;0),$Z35,0)</f>
        <v>0</v>
      </c>
      <c r="BE35" s="242">
        <f>IF(AND(OR($F35="B",$F35="C"),$F14=0),$R14/'DATI (2)'!$E$13,0)</f>
        <v>0</v>
      </c>
      <c r="BF35" s="244">
        <f>IF(AND((OR($F35="B",$F35="C")),$F14=0,R14&gt;0),$Z35*$BT35,0)</f>
        <v>0</v>
      </c>
      <c r="BG35" s="242">
        <f>IF(AND(OR($F35="B",$F35="C")),$S14/'DATI (2)'!$E$13,0)</f>
        <v>0</v>
      </c>
      <c r="BH35" s="244">
        <f>IF(AND((OR($F35="B",$F35="C")),$S14&gt;0),$Z35*$BU35,0)</f>
        <v>0</v>
      </c>
      <c r="BJ35" s="242">
        <f>IF(AND($F35="A",$F14&gt;0),$R14/'DATI (2)'!$E$13,0)</f>
        <v>0</v>
      </c>
      <c r="BK35" s="244">
        <f>IF(AND($F35="a",$F14&gt;0),$Z35,0)</f>
        <v>0</v>
      </c>
      <c r="BL35" s="242">
        <f>IF(AND($F35="A",$F14=0),$R14/'DATI (2)'!$E$13,0)</f>
        <v>0</v>
      </c>
      <c r="BM35" s="244">
        <f>IF(AND($F35="a",$F14=0,R14&gt;0),$Z35*$BT35,0)</f>
        <v>0</v>
      </c>
      <c r="BN35" s="242">
        <f>IF(AND($F35="A"),$S14/'DATI (2)'!$E$13,0)</f>
        <v>0</v>
      </c>
      <c r="BO35" s="244">
        <f>IF(AND($F35="a",$S14&gt;0),$Z35*$BU35,0)</f>
        <v>0</v>
      </c>
      <c r="BQ35" s="245">
        <f>Q14</f>
        <v>0</v>
      </c>
      <c r="BR35" s="245">
        <f>R14/'DATI (2)'!$E$13</f>
        <v>0</v>
      </c>
      <c r="BS35" s="245">
        <f>S14/'DATI (2)'!$E$14</f>
        <v>0</v>
      </c>
      <c r="BT35" s="245" t="e">
        <f>BR35/BQ35</f>
        <v>#DIV/0!</v>
      </c>
      <c r="BU35" s="245" t="e">
        <f>BS35/BQ35</f>
        <v>#DIV/0!</v>
      </c>
      <c r="BW35" s="68">
        <f>IF(F35="E",$Q$41*G35/$AI$41,0)</f>
        <v>0</v>
      </c>
    </row>
    <row r="36" spans="4:75" ht="19.5" customHeight="1">
      <c r="D36" s="246">
        <f>D15</f>
        <v>0</v>
      </c>
      <c r="E36" s="247">
        <f>F15</f>
        <v>0</v>
      </c>
      <c r="F36" s="248">
        <f>N15</f>
        <v>0</v>
      </c>
      <c r="G36" s="249">
        <f>Q15</f>
        <v>0</v>
      </c>
      <c r="H36" s="250">
        <f>AC15</f>
        <v>0</v>
      </c>
      <c r="I36" s="250"/>
      <c r="J36" s="250"/>
      <c r="K36" s="251">
        <f>(H36)*0.1</f>
        <v>0</v>
      </c>
      <c r="L36" s="251"/>
      <c r="M36" s="252">
        <f>IF($C$5="s",IF(SUM($H$41)&lt;=1000000,SUM(H36)*0.02,SUM(H36)*0.01),0)</f>
        <v>0</v>
      </c>
      <c r="N36" s="252"/>
      <c r="O36" s="253">
        <f>(M36*(0.04))</f>
        <v>0</v>
      </c>
      <c r="P36" s="254">
        <f>(M36+O36)*0.22</f>
        <v>0</v>
      </c>
      <c r="Q36" s="255">
        <f>IF(F36="E",G36*12,0)</f>
        <v>0</v>
      </c>
      <c r="R36" s="256">
        <f>BW36*0.22</f>
        <v>0</v>
      </c>
      <c r="S36" s="257"/>
      <c r="T36" s="258"/>
      <c r="U36" s="259">
        <f>(S36+T36)*0.22</f>
        <v>0</v>
      </c>
      <c r="V36" s="255">
        <f>H36*0.15</f>
        <v>0</v>
      </c>
      <c r="W36" s="253">
        <f>V36*0.04</f>
        <v>0</v>
      </c>
      <c r="X36" s="260">
        <f>0.22*(W36+V36)</f>
        <v>0</v>
      </c>
      <c r="Y36" s="261">
        <f>SUM(K36:X36)-Q36+BW36</f>
        <v>0</v>
      </c>
      <c r="Z36" s="262">
        <f>Y36+H36</f>
        <v>0</v>
      </c>
      <c r="AA36" s="262"/>
      <c r="AB36" s="240"/>
      <c r="AC36" s="240"/>
      <c r="AF36" s="151"/>
      <c r="AG36" s="151"/>
      <c r="AH36" s="241">
        <f>IF($N15="E",$T15,0)</f>
        <v>0</v>
      </c>
      <c r="AI36" s="241">
        <f>IF(OR($F36="E",$F36="E"),$G36,0)</f>
        <v>0</v>
      </c>
      <c r="AJ36" s="241">
        <f>IF(OR($F36="B",$F36="C"),$G36,0)</f>
        <v>0</v>
      </c>
      <c r="AK36" s="241">
        <f>IF($F36="A",$G36,0)</f>
        <v>0</v>
      </c>
      <c r="AL36" s="241">
        <f>IF($N15="A",$F15,0)</f>
        <v>0</v>
      </c>
      <c r="AM36" s="241">
        <f>IF(AND($F36="A",$F15&gt;0),$G36,0)</f>
        <v>0</v>
      </c>
      <c r="AN36" s="241">
        <f>IF($F15&gt;0,$G36,0)</f>
        <v>0</v>
      </c>
      <c r="AQ36" s="242">
        <f>IF($N15="E",$R15/'DATI (2)'!$E$13,0)</f>
        <v>0</v>
      </c>
      <c r="AR36" s="242">
        <f>IF($N15="E",$S15/'DATI (2)'!$E$14,0)</f>
        <v>0</v>
      </c>
      <c r="AS36" s="243">
        <f>($R15)/'DATI (2)'!$E$13</f>
        <v>0</v>
      </c>
      <c r="AT36" s="243">
        <f>$S15/'DATI (2)'!$E$14</f>
        <v>0</v>
      </c>
      <c r="AV36" s="242">
        <f>IF(AND($F36="E",$F15&gt;0),$R15/'DATI (2)'!$E$13,0)</f>
        <v>0</v>
      </c>
      <c r="AW36" s="244">
        <f>IF(AND($F36="E",$F15&gt;0),$Z36,0)</f>
        <v>0</v>
      </c>
      <c r="AX36" s="242">
        <f>IF(AND($F36="E",$F15=0),$R15/'DATI (2)'!$E$13,0)</f>
        <v>0</v>
      </c>
      <c r="AY36" s="244">
        <f>IF(AND($F36="E",$F15=0,R15&gt;0),$Z36*$BT36,0)</f>
        <v>0</v>
      </c>
      <c r="AZ36" s="242">
        <f>IF(AND($F36="E"),$S15/'DATI (2)'!$E$13,0)</f>
        <v>0</v>
      </c>
      <c r="BA36" s="244">
        <f>IF(AND($F36="E",$S15&gt;0),$Z36*$BU36,0)</f>
        <v>0</v>
      </c>
      <c r="BC36" s="242">
        <f>IF(AND(OR($F36="B",$F36="C"),$F15&gt;0),$R15/'DATI (2)'!$E$13,0)</f>
        <v>0</v>
      </c>
      <c r="BD36" s="244">
        <f>IF(AND(AND(OR($F36="B",$F36="C")),$F15&gt;0),$Z36,0)</f>
        <v>0</v>
      </c>
      <c r="BE36" s="242">
        <f>IF(AND(OR($F36="B",$F36="C"),$F15=0),$R15/'DATI (2)'!$E$13,0)</f>
        <v>0</v>
      </c>
      <c r="BF36" s="244">
        <f>IF(AND((OR($F36="B",$F36="C")),$F15=0,R15&gt;0),$Z36*$BT36,0)</f>
        <v>0</v>
      </c>
      <c r="BG36" s="242">
        <f>IF(AND(OR($F36="B",$F36="C")),$S15/'DATI (2)'!$E$13,0)</f>
        <v>0</v>
      </c>
      <c r="BH36" s="244">
        <f>IF(AND((OR($F36="B",$F36="C")),$S15&gt;0),$Z36*$BU36,0)</f>
        <v>0</v>
      </c>
      <c r="BJ36" s="242">
        <f>IF(AND($F36="A",$F15&gt;0),$R15/'DATI (2)'!$E$13,0)</f>
        <v>0</v>
      </c>
      <c r="BK36" s="244">
        <f>IF(AND($F36="a",$F15&gt;0),$Z36,0)</f>
        <v>0</v>
      </c>
      <c r="BL36" s="242">
        <f>IF(AND($F36="A",$F15=0),$R15/'DATI (2)'!$E$13,0)</f>
        <v>0</v>
      </c>
      <c r="BM36" s="244">
        <f>IF(AND($F36="a",$F15=0,R15&gt;0),$Z36*$BT36,0)</f>
        <v>0</v>
      </c>
      <c r="BN36" s="242">
        <f>IF(AND($F36="A"),$S15/'DATI (2)'!$E$13,0)</f>
        <v>0</v>
      </c>
      <c r="BO36" s="244">
        <f>IF(AND($F36="a",$S15&gt;0),$Z36*$BU36,0)</f>
        <v>0</v>
      </c>
      <c r="BQ36" s="245">
        <f>Q15</f>
        <v>0</v>
      </c>
      <c r="BR36" s="245">
        <f>R15/'DATI (2)'!$E$13</f>
        <v>0</v>
      </c>
      <c r="BS36" s="245">
        <f>S15/'DATI (2)'!$E$14</f>
        <v>0</v>
      </c>
      <c r="BT36" s="245" t="e">
        <f>BR36/BQ36</f>
        <v>#DIV/0!</v>
      </c>
      <c r="BU36" s="245" t="e">
        <f>BS36/BQ36</f>
        <v>#DIV/0!</v>
      </c>
      <c r="BW36" s="68">
        <f>IF(F36="E",$Q$41*G36/$AI$41,0)</f>
        <v>0</v>
      </c>
    </row>
    <row r="37" spans="4:75" ht="19.5" customHeight="1">
      <c r="D37" s="246">
        <f>D16</f>
        <v>0</v>
      </c>
      <c r="E37" s="247">
        <f>F16</f>
        <v>0</v>
      </c>
      <c r="F37" s="248">
        <f>N16</f>
        <v>0</v>
      </c>
      <c r="G37" s="249">
        <f>Q16</f>
        <v>0</v>
      </c>
      <c r="H37" s="250">
        <f>AC16</f>
        <v>0</v>
      </c>
      <c r="I37" s="250"/>
      <c r="J37" s="250"/>
      <c r="K37" s="251">
        <f>(H37)*0.1</f>
        <v>0</v>
      </c>
      <c r="L37" s="251"/>
      <c r="M37" s="252">
        <f>IF($C$5="s",IF(SUM($H$41)&lt;=1000000,SUM(H37)*0.02,SUM(H37)*0.01),0)</f>
        <v>0</v>
      </c>
      <c r="N37" s="252"/>
      <c r="O37" s="253">
        <f>(M37*(0.04))</f>
        <v>0</v>
      </c>
      <c r="P37" s="254">
        <f>(M37+O37)*0.22</f>
        <v>0</v>
      </c>
      <c r="Q37" s="255">
        <f>IF(F37="E",G37*12,0)</f>
        <v>0</v>
      </c>
      <c r="R37" s="256">
        <f>BW37*0.22</f>
        <v>0</v>
      </c>
      <c r="S37" s="257">
        <f>IF(F37="E",H37*1.5%,0)</f>
        <v>0</v>
      </c>
      <c r="T37" s="258">
        <f>S37*0.02</f>
        <v>0</v>
      </c>
      <c r="U37" s="259">
        <f>(S37+T37)*0.22</f>
        <v>0</v>
      </c>
      <c r="V37" s="255">
        <f>H37*0.15</f>
        <v>0</v>
      </c>
      <c r="W37" s="253">
        <f>V37*0.04</f>
        <v>0</v>
      </c>
      <c r="X37" s="260">
        <f>0.22*(W37+V37)</f>
        <v>0</v>
      </c>
      <c r="Y37" s="261">
        <f>SUM(K37:X37)-Q37+BW37</f>
        <v>0</v>
      </c>
      <c r="Z37" s="262">
        <f>Y37+H37</f>
        <v>0</v>
      </c>
      <c r="AA37" s="262"/>
      <c r="AB37" s="240"/>
      <c r="AC37" s="240"/>
      <c r="AF37" s="151"/>
      <c r="AG37" s="151"/>
      <c r="AH37" s="241">
        <f>IF($N16="E",$T16,0)</f>
        <v>0</v>
      </c>
      <c r="AI37" s="241">
        <f>IF(OR($F37="E",$F37="E"),$G37,0)</f>
        <v>0</v>
      </c>
      <c r="AJ37" s="241">
        <f>IF(OR($F37="B",$F37="C"),$G37,0)</f>
        <v>0</v>
      </c>
      <c r="AK37" s="241">
        <f>IF($F37="A",$G37,0)</f>
        <v>0</v>
      </c>
      <c r="AL37" s="241">
        <f>IF($N16="A",$F16,0)</f>
        <v>0</v>
      </c>
      <c r="AM37" s="241">
        <f>IF(AND($F37="A",$F16&gt;0),$G37,0)</f>
        <v>0</v>
      </c>
      <c r="AN37" s="241">
        <f>IF($F16&gt;0,$G37,0)</f>
        <v>0</v>
      </c>
      <c r="AQ37" s="242">
        <f>IF($N16="E",$R16/'DATI (2)'!$E$13,0)</f>
        <v>0</v>
      </c>
      <c r="AR37" s="242">
        <f>IF($N16="E",$S16/'DATI (2)'!$E$14,0)</f>
        <v>0</v>
      </c>
      <c r="AS37" s="243">
        <f>($R16)/'DATI (2)'!$E$13</f>
        <v>0</v>
      </c>
      <c r="AT37" s="243">
        <f>$S16/'DATI (2)'!$E$14</f>
        <v>0</v>
      </c>
      <c r="AV37" s="242">
        <f>IF(AND($F37="E",$F16&gt;0),$R16/'DATI (2)'!$E$13,0)</f>
        <v>0</v>
      </c>
      <c r="AW37" s="244">
        <f>IF(AND($F37="E",$F16&gt;0),$Z37,0)</f>
        <v>0</v>
      </c>
      <c r="AX37" s="242">
        <f>IF(AND($F37="E",$F16=0),$R16/'DATI (2)'!$E$13,0)</f>
        <v>0</v>
      </c>
      <c r="AY37" s="244">
        <f>IF(AND($F37="E",$F16=0,R16&gt;0),$Z37*$BT37,0)</f>
        <v>0</v>
      </c>
      <c r="AZ37" s="242">
        <f>IF(AND($F37="E"),$S16/'DATI (2)'!$E$13,0)</f>
        <v>0</v>
      </c>
      <c r="BA37" s="244">
        <f>IF(AND($F37="E",$S16&gt;0),$Z37*$BU37,0)</f>
        <v>0</v>
      </c>
      <c r="BC37" s="242">
        <f>IF(AND(OR($F37="B",$F37="C"),$F16&gt;0),$R16/'DATI (2)'!$E$13,0)</f>
        <v>0</v>
      </c>
      <c r="BD37" s="244">
        <f>IF(AND(AND(OR($F37="B",$F37="C")),$F16&gt;0),$Z37,0)</f>
        <v>0</v>
      </c>
      <c r="BE37" s="242">
        <f>IF(AND(OR($F37="B",$F37="C"),$F16=0),$R16/'DATI (2)'!$E$13,0)</f>
        <v>0</v>
      </c>
      <c r="BF37" s="244">
        <f>IF(AND((OR($F37="B",$F37="C")),$F16=0,R16&gt;0),$Z37*$BT37,0)</f>
        <v>0</v>
      </c>
      <c r="BG37" s="242">
        <f>IF(AND(OR($F37="B",$F37="C")),$S16/'DATI (2)'!$E$13,0)</f>
        <v>0</v>
      </c>
      <c r="BH37" s="244">
        <f>IF(AND((OR($F37="B",$F37="C")),$S16&gt;0),$Z37*$BU37,0)</f>
        <v>0</v>
      </c>
      <c r="BJ37" s="242">
        <f>IF(AND($F37="A",$F16&gt;0),$R16/'DATI (2)'!$E$13,0)</f>
        <v>0</v>
      </c>
      <c r="BK37" s="244">
        <f>IF(AND($F37="a",$F16&gt;0),$Z37,0)</f>
        <v>0</v>
      </c>
      <c r="BL37" s="242">
        <f>IF(AND($F37="A",$F16=0),$R16/'DATI (2)'!$E$13,0)</f>
        <v>0</v>
      </c>
      <c r="BM37" s="244">
        <f>IF(AND($F37="a",$F16=0,R16&gt;0),$Z37*$BT37,0)</f>
        <v>0</v>
      </c>
      <c r="BN37" s="242">
        <f>IF(AND($F37="A"),$S16/'DATI (2)'!$E$13,0)</f>
        <v>0</v>
      </c>
      <c r="BO37" s="244">
        <f>IF(AND($F37="a",$S16&gt;0),$Z37*$BU37,0)</f>
        <v>0</v>
      </c>
      <c r="BQ37" s="245">
        <f>Q16</f>
        <v>0</v>
      </c>
      <c r="BR37" s="245">
        <f>R16/'DATI (2)'!$E$13</f>
        <v>0</v>
      </c>
      <c r="BS37" s="245">
        <f>S16/'DATI (2)'!$E$14</f>
        <v>0</v>
      </c>
      <c r="BT37" s="245" t="e">
        <f>BR37/BQ37</f>
        <v>#DIV/0!</v>
      </c>
      <c r="BU37" s="245" t="e">
        <f>BS37/BQ37</f>
        <v>#DIV/0!</v>
      </c>
      <c r="BW37" s="68">
        <f>IF(F37="E",$Q$41*G37/$AI$41,0)</f>
        <v>0</v>
      </c>
    </row>
    <row r="38" spans="4:75" ht="19.5" customHeight="1">
      <c r="D38" s="246">
        <f>D17</f>
        <v>0</v>
      </c>
      <c r="E38" s="247">
        <f>F17</f>
        <v>0</v>
      </c>
      <c r="F38" s="248">
        <f>N17</f>
        <v>0</v>
      </c>
      <c r="G38" s="249">
        <f>Q17</f>
        <v>0</v>
      </c>
      <c r="H38" s="250">
        <f>AC17</f>
        <v>0</v>
      </c>
      <c r="I38" s="250"/>
      <c r="J38" s="250"/>
      <c r="K38" s="251">
        <f>(H38)*0.1</f>
        <v>0</v>
      </c>
      <c r="L38" s="251"/>
      <c r="M38" s="252">
        <f>IF($C$5="s",IF(SUM($H$41)&lt;=1000000,SUM(H38)*0.02,SUM(H38)*0.01),0)</f>
        <v>0</v>
      </c>
      <c r="N38" s="252"/>
      <c r="O38" s="253">
        <f>(M38*(0.04))</f>
        <v>0</v>
      </c>
      <c r="P38" s="254">
        <f>(M38+O38)*0.22</f>
        <v>0</v>
      </c>
      <c r="Q38" s="255">
        <f>IF(F38="E",G38*12,0)</f>
        <v>0</v>
      </c>
      <c r="R38" s="256">
        <f>BW38*0.22</f>
        <v>0</v>
      </c>
      <c r="S38" s="257"/>
      <c r="T38" s="258"/>
      <c r="U38" s="259">
        <f>(S38+T38)*0.22</f>
        <v>0</v>
      </c>
      <c r="V38" s="255">
        <f>H38*0.15</f>
        <v>0</v>
      </c>
      <c r="W38" s="253">
        <f>V38*0.04</f>
        <v>0</v>
      </c>
      <c r="X38" s="260">
        <f>0.22*(W38+V38)</f>
        <v>0</v>
      </c>
      <c r="Y38" s="261">
        <f>SUM(K38:X38)-Q38+BW38</f>
        <v>0</v>
      </c>
      <c r="Z38" s="262">
        <f>Y38+H38</f>
        <v>0</v>
      </c>
      <c r="AA38" s="262"/>
      <c r="AB38" s="240"/>
      <c r="AC38" s="240"/>
      <c r="AF38" s="151"/>
      <c r="AG38" s="151"/>
      <c r="AH38" s="241">
        <f>IF($N17="E",$T17,0)</f>
        <v>0</v>
      </c>
      <c r="AI38" s="241">
        <f>IF(OR($F38="E",$F38="E"),$G38,0)</f>
        <v>0</v>
      </c>
      <c r="AJ38" s="241">
        <f>IF(OR($F38="B",$F38="C"),$G38,0)</f>
        <v>0</v>
      </c>
      <c r="AK38" s="241">
        <f>IF($F38="A",$G38,0)</f>
        <v>0</v>
      </c>
      <c r="AL38" s="241">
        <f>IF($N17="A",$F17,0)</f>
        <v>0</v>
      </c>
      <c r="AM38" s="241">
        <f>IF(AND($F38="A",$F17&gt;0),$G38,0)</f>
        <v>0</v>
      </c>
      <c r="AN38" s="241">
        <f>IF($F17&gt;0,$G38,0)</f>
        <v>0</v>
      </c>
      <c r="AQ38" s="242">
        <f>IF($N17="E",$R17/'DATI (2)'!$E$13,0)</f>
        <v>0</v>
      </c>
      <c r="AR38" s="242">
        <f>IF($N17="E",$S17/'DATI (2)'!$E$14,0)</f>
        <v>0</v>
      </c>
      <c r="AS38" s="243">
        <f>($R17)/'DATI (2)'!$E$13</f>
        <v>0</v>
      </c>
      <c r="AT38" s="243">
        <f>$S17/'DATI (2)'!$E$14</f>
        <v>0</v>
      </c>
      <c r="AV38" s="242">
        <f>IF(AND($F38="E",$F17&gt;0),$R17/'DATI (2)'!$E$13,0)</f>
        <v>0</v>
      </c>
      <c r="AW38" s="244">
        <f>IF(AND($F38="E",$F17&gt;0),$Z38,0)</f>
        <v>0</v>
      </c>
      <c r="AX38" s="242">
        <f>IF(AND($F38="E",$F17=0),$R17/'DATI (2)'!$E$13,0)</f>
        <v>0</v>
      </c>
      <c r="AY38" s="244">
        <f>IF(AND($F38="E",$F17=0,R17&gt;0),$Z38*$BT38,0)</f>
        <v>0</v>
      </c>
      <c r="AZ38" s="242">
        <f>IF(AND($F38="E"),$S17/'DATI (2)'!$E$13,0)</f>
        <v>0</v>
      </c>
      <c r="BA38" s="244">
        <f>IF(AND($F38="E",$S17&gt;0),$Z38*$BU38,0)</f>
        <v>0</v>
      </c>
      <c r="BC38" s="242">
        <f>IF(AND(OR($F38="B",$F38="C"),$F17&gt;0),$R17/'DATI (2)'!$E$13,0)</f>
        <v>0</v>
      </c>
      <c r="BD38" s="244">
        <f>IF(AND(AND(OR($F38="B",$F38="C")),$F17&gt;0),$Z38,0)</f>
        <v>0</v>
      </c>
      <c r="BE38" s="242">
        <f>IF(AND(OR($F38="B",$F38="C"),$F17=0),$R17/'DATI (2)'!$E$13,0)</f>
        <v>0</v>
      </c>
      <c r="BF38" s="244">
        <f>IF(AND((OR($F38="B",$F38="C")),$F17=0,R17&gt;0),$Z38*$BT38,0)</f>
        <v>0</v>
      </c>
      <c r="BG38" s="242">
        <f>IF(AND(OR($F38="B",$F38="C")),$S17/'DATI (2)'!$E$13,0)</f>
        <v>0</v>
      </c>
      <c r="BH38" s="244">
        <f>IF(AND((OR($F38="B",$F38="C")),$S17&gt;0),$Z38*$BU38,0)</f>
        <v>0</v>
      </c>
      <c r="BJ38" s="242">
        <f>IF(AND($F38="A",$F17&gt;0),$R17/'DATI (2)'!$E$13,0)</f>
        <v>0</v>
      </c>
      <c r="BK38" s="244">
        <f>IF(AND($F38="a",$F17&gt;0),$Z38,0)</f>
        <v>0</v>
      </c>
      <c r="BL38" s="242">
        <f>IF(AND($F38="A",$F17=0),$R17/'DATI (2)'!$E$13,0)</f>
        <v>0</v>
      </c>
      <c r="BM38" s="244">
        <f>IF(AND($F38="a",$F17=0,R17&gt;0),$Z38*$BT38,0)</f>
        <v>0</v>
      </c>
      <c r="BN38" s="242">
        <f>IF(AND($F38="A"),$S17/'DATI (2)'!$E$13,0)</f>
        <v>0</v>
      </c>
      <c r="BO38" s="244">
        <f>IF(AND($F38="a",$S17&gt;0),$Z38*$BU38,0)</f>
        <v>0</v>
      </c>
      <c r="BQ38" s="245">
        <f>Q17</f>
        <v>0</v>
      </c>
      <c r="BR38" s="245">
        <f>R17/'DATI (2)'!$E$13</f>
        <v>0</v>
      </c>
      <c r="BS38" s="245">
        <f>S17/'DATI (2)'!$E$14</f>
        <v>0</v>
      </c>
      <c r="BT38" s="245" t="e">
        <f>BR38/BQ38</f>
        <v>#DIV/0!</v>
      </c>
      <c r="BU38" s="245" t="e">
        <f>BS38/BQ38</f>
        <v>#DIV/0!</v>
      </c>
      <c r="BW38" s="68">
        <f>IF(F38="E",$Q$41*G38/$AI$41,0)</f>
        <v>0</v>
      </c>
    </row>
    <row r="39" spans="4:75" ht="19.5" customHeight="1">
      <c r="D39" s="246">
        <f>D18</f>
        <v>0</v>
      </c>
      <c r="E39" s="247">
        <f>F18</f>
        <v>0</v>
      </c>
      <c r="F39" s="248">
        <f>N18</f>
        <v>0</v>
      </c>
      <c r="G39" s="249">
        <f>Q18</f>
        <v>0</v>
      </c>
      <c r="H39" s="250">
        <f>AC18</f>
        <v>0</v>
      </c>
      <c r="I39" s="250"/>
      <c r="J39" s="250"/>
      <c r="K39" s="251">
        <f>(H39)*0.1</f>
        <v>0</v>
      </c>
      <c r="L39" s="251"/>
      <c r="M39" s="252">
        <f>IF($C$5="s",IF(SUM($H$41)&lt;=1000000,SUM(H39)*0.02,SUM(H39)*0.01),0)</f>
        <v>0</v>
      </c>
      <c r="N39" s="252"/>
      <c r="O39" s="253">
        <f>(M39*(0.04))</f>
        <v>0</v>
      </c>
      <c r="P39" s="254">
        <f>(M39+O39)*0.22</f>
        <v>0</v>
      </c>
      <c r="Q39" s="255">
        <f>IF(F39="E",G39*12,0)</f>
        <v>0</v>
      </c>
      <c r="R39" s="256">
        <f>BW39*0.22</f>
        <v>0</v>
      </c>
      <c r="S39" s="257">
        <f>IF(F39="E",H39*1.5%,0)</f>
        <v>0</v>
      </c>
      <c r="T39" s="258">
        <f>S39*0.02</f>
        <v>0</v>
      </c>
      <c r="U39" s="259">
        <f>(S39+T39)*0.22</f>
        <v>0</v>
      </c>
      <c r="V39" s="255">
        <f>H39*0.15</f>
        <v>0</v>
      </c>
      <c r="W39" s="253">
        <f>V39*0.04</f>
        <v>0</v>
      </c>
      <c r="X39" s="260">
        <f>0.22*(W39+V39)</f>
        <v>0</v>
      </c>
      <c r="Y39" s="261">
        <f>SUM(K39:X39)-Q39+BW39</f>
        <v>0</v>
      </c>
      <c r="Z39" s="262">
        <f>Y39+H39</f>
        <v>0</v>
      </c>
      <c r="AA39" s="262"/>
      <c r="AB39" s="240"/>
      <c r="AC39" s="240"/>
      <c r="AF39" s="151"/>
      <c r="AG39" s="151"/>
      <c r="AH39" s="241">
        <f>IF($N18="E",$T18,0)</f>
        <v>0</v>
      </c>
      <c r="AI39" s="241">
        <f>IF(OR($F39="E",$F39="E"),$G39,0)</f>
        <v>0</v>
      </c>
      <c r="AJ39" s="241">
        <f>IF(OR($F39="B",$F39="C"),$G39,0)</f>
        <v>0</v>
      </c>
      <c r="AK39" s="241">
        <f>IF($F39="A",$G39,0)</f>
        <v>0</v>
      </c>
      <c r="AL39" s="241">
        <f>IF($N18="A",$F18,0)</f>
        <v>0</v>
      </c>
      <c r="AM39" s="241">
        <f>IF(AND($F39="A",$F18&gt;0),$G39,0)</f>
        <v>0</v>
      </c>
      <c r="AN39" s="241">
        <f>IF($F18&gt;0,$G39,0)</f>
        <v>0</v>
      </c>
      <c r="AQ39" s="242">
        <f>IF($N18="E",$R18/'DATI (2)'!$E$13,0)</f>
        <v>0</v>
      </c>
      <c r="AR39" s="242">
        <f>IF($N18="E",$S18/'DATI (2)'!$E$14,0)</f>
        <v>0</v>
      </c>
      <c r="AS39" s="243">
        <f>($R18)/'DATI (2)'!$E$13</f>
        <v>0</v>
      </c>
      <c r="AT39" s="243">
        <f>$S18/'DATI (2)'!$E$14</f>
        <v>0</v>
      </c>
      <c r="AV39" s="242">
        <f>IF(AND($F39="E",$F18&gt;0),$R18/'DATI (2)'!$E$13,0)</f>
        <v>0</v>
      </c>
      <c r="AW39" s="244">
        <f>IF(AND($F39="E",$F18&gt;0),$Z39,0)</f>
        <v>0</v>
      </c>
      <c r="AX39" s="242">
        <f>IF(AND($F39="E",$F18=0),$R18/'DATI (2)'!$E$13,0)</f>
        <v>0</v>
      </c>
      <c r="AY39" s="244">
        <f>IF(AND($F39="E",$F18=0,R18&gt;0),$Z39*$BT39,0)</f>
        <v>0</v>
      </c>
      <c r="AZ39" s="242">
        <f>IF(AND($F39="E"),$S18/'DATI (2)'!$E$13,0)</f>
        <v>0</v>
      </c>
      <c r="BA39" s="244">
        <f>IF(AND($F39="E",$S18&gt;0),$Z39*$BU39,0)</f>
        <v>0</v>
      </c>
      <c r="BC39" s="242">
        <f>IF(AND(OR($F39="B",$F39="C"),$F18&gt;0),$R18/'DATI (2)'!$E$13,0)</f>
        <v>0</v>
      </c>
      <c r="BD39" s="244">
        <f>IF(AND(AND(OR($F39="B",$F39="C")),$F18&gt;0),$Z39,0)</f>
        <v>0</v>
      </c>
      <c r="BE39" s="242">
        <f>IF(AND(OR($F39="B",$F39="C"),$F18=0),$R18/'DATI (2)'!$E$13,0)</f>
        <v>0</v>
      </c>
      <c r="BF39" s="244">
        <f>IF(AND((OR($F39="B",$F39="C")),$F18=0,R18&gt;0),$Z39*$BT39,0)</f>
        <v>0</v>
      </c>
      <c r="BG39" s="242">
        <f>IF(AND(OR($F39="B",$F39="C")),$S18/'DATI (2)'!$E$13,0)</f>
        <v>0</v>
      </c>
      <c r="BH39" s="244">
        <f>IF(AND((OR($F39="B",$F39="C")),$S18&gt;0),$Z39*$BU39,0)</f>
        <v>0</v>
      </c>
      <c r="BJ39" s="242">
        <f>IF(AND($F39="A",$F18&gt;0),$R18/'DATI (2)'!$E$13,0)</f>
        <v>0</v>
      </c>
      <c r="BK39" s="244">
        <f>IF(AND($F39="a",$F18&gt;0),$Z39,0)</f>
        <v>0</v>
      </c>
      <c r="BL39" s="242">
        <f>IF(AND($F39="A",$F18=0),$R18/'DATI (2)'!$E$13,0)</f>
        <v>0</v>
      </c>
      <c r="BM39" s="244">
        <f>IF(AND($F39="a",$F18=0,R18&gt;0),$Z39*$BT39,0)</f>
        <v>0</v>
      </c>
      <c r="BN39" s="242">
        <f>IF(AND($F39="A"),$S18/'DATI (2)'!$E$13,0)</f>
        <v>0</v>
      </c>
      <c r="BO39" s="244">
        <f>IF(AND($F39="a",$S18&gt;0),$Z39*$BU39,0)</f>
        <v>0</v>
      </c>
      <c r="BQ39" s="245">
        <f>Q18</f>
        <v>0</v>
      </c>
      <c r="BR39" s="245">
        <f>R18/'DATI (2)'!$E$13</f>
        <v>0</v>
      </c>
      <c r="BS39" s="245">
        <f>S18/'DATI (2)'!$E$14</f>
        <v>0</v>
      </c>
      <c r="BT39" s="245" t="e">
        <f>BR39/BQ39</f>
        <v>#DIV/0!</v>
      </c>
      <c r="BU39" s="245" t="e">
        <f>BS39/BQ39</f>
        <v>#DIV/0!</v>
      </c>
      <c r="BW39" s="68">
        <f>IF(F39="E",$Q$41*G39/$AI$41,0)</f>
        <v>0</v>
      </c>
    </row>
    <row r="40" spans="4:75" ht="19.5" customHeight="1">
      <c r="D40" s="265"/>
      <c r="E40" s="266"/>
      <c r="F40" s="267"/>
      <c r="G40" s="268"/>
      <c r="H40" s="269">
        <f>AC19</f>
        <v>0</v>
      </c>
      <c r="I40" s="269"/>
      <c r="J40" s="269"/>
      <c r="K40" s="270">
        <f>(H40)*0.1</f>
        <v>0</v>
      </c>
      <c r="L40" s="270"/>
      <c r="M40" s="271">
        <f>IF($C$5="s",IF(SUM($H$41)&lt;=1000000,SUM(H40)*0.02,SUM(H40)*0.01),0)</f>
        <v>0</v>
      </c>
      <c r="N40" s="271"/>
      <c r="O40" s="272">
        <f>(M40*(0.04))</f>
        <v>0</v>
      </c>
      <c r="P40" s="273">
        <f>(M40+O40)*0.22</f>
        <v>0</v>
      </c>
      <c r="Q40" s="274">
        <f>IF(F40="E",G40*12,0)</f>
        <v>0</v>
      </c>
      <c r="R40" s="275">
        <f>BW40*0.22</f>
        <v>0</v>
      </c>
      <c r="S40" s="299">
        <f>IF(F40="E",H40*1.5%,0)</f>
        <v>0</v>
      </c>
      <c r="T40" s="300">
        <f>S40*0.02</f>
        <v>0</v>
      </c>
      <c r="U40" s="301">
        <f>(S40+T40)*0.22</f>
        <v>0</v>
      </c>
      <c r="V40" s="274">
        <f>H40*0.15</f>
        <v>0</v>
      </c>
      <c r="W40" s="272">
        <f>V40*0.04</f>
        <v>0</v>
      </c>
      <c r="X40" s="276">
        <f>0.22*(W40+V40)</f>
        <v>0</v>
      </c>
      <c r="Y40" s="277">
        <f>SUM(K40:X40)-Q40+BW40</f>
        <v>0</v>
      </c>
      <c r="Z40" s="278">
        <f>Y40+H40</f>
        <v>0</v>
      </c>
      <c r="AA40" s="278"/>
      <c r="AB40" s="240"/>
      <c r="AC40" s="240"/>
      <c r="AF40" s="151"/>
      <c r="AG40" s="151"/>
      <c r="AH40" s="279">
        <f>IF($N19="E",$T19,0)</f>
        <v>0</v>
      </c>
      <c r="AI40" s="241">
        <f>IF(OR($F40="E",$F40="E"),$G40,0)</f>
        <v>0</v>
      </c>
      <c r="AJ40" s="279">
        <f>IF(OR($F40="B",$F40="C"),$G40,0)</f>
        <v>0</v>
      </c>
      <c r="AK40" s="279">
        <f>IF($F40="A",$G40,0)</f>
        <v>0</v>
      </c>
      <c r="AL40" s="279">
        <f>IF($N19="A",$F19,0)</f>
        <v>0</v>
      </c>
      <c r="AM40" s="241">
        <f>IF(AND($F40="A",$F19&gt;0),$G40,0)</f>
        <v>0</v>
      </c>
      <c r="AN40" s="241">
        <f>IF($F19&gt;0,$G40,0)</f>
        <v>0</v>
      </c>
      <c r="AQ40" s="242">
        <f>IF($N19="E",$R19/'DATI (2)'!$E$13,0)</f>
        <v>0</v>
      </c>
      <c r="AR40" s="242">
        <f>IF($N19="E",$S19/'DATI (2)'!$E$14,0)</f>
        <v>0</v>
      </c>
      <c r="AS40" s="243">
        <f>($R19)/'DATI (2)'!$E$13</f>
        <v>0</v>
      </c>
      <c r="AT40" s="243">
        <f>$S19/'DATI (2)'!$E$14</f>
        <v>0</v>
      </c>
      <c r="AV40" s="242">
        <f>IF(AND($F40="E",$F19&gt;0),$R19/'DATI (2)'!$E$13,0)</f>
        <v>0</v>
      </c>
      <c r="AW40" s="244">
        <f>IF(AND($F40="E",$F19&gt;0),$Z40,0)</f>
        <v>0</v>
      </c>
      <c r="AX40" s="242">
        <f>IF(AND($F40="E",$F19=0),$R19/'DATI (2)'!$E$13,0)</f>
        <v>0</v>
      </c>
      <c r="AY40" s="244">
        <f>IF(AND($F40="E",$F19=0,R19&gt;0),$Z40*$BT40,0)</f>
        <v>0</v>
      </c>
      <c r="AZ40" s="242">
        <f>IF(AND($F40="E"),$S19/'DATI (2)'!$E$13,0)</f>
        <v>0</v>
      </c>
      <c r="BA40" s="244">
        <f>IF(AND($F40="E",$S19&gt;0),$Z40*$BU40,0)</f>
        <v>0</v>
      </c>
      <c r="BC40" s="242">
        <f>IF(AND(OR($F40="B",$F40="C"),$F19&gt;0),$R19/'DATI (2)'!$E$13,0)</f>
        <v>0</v>
      </c>
      <c r="BD40" s="244">
        <f>IF(AND(AND(OR($F40="B",$F40="C")),$F19&gt;0),$Z40,0)</f>
        <v>0</v>
      </c>
      <c r="BE40" s="242">
        <f>IF(AND(OR($F40="B",$F40="C"),$F19=0),$R19/'DATI (2)'!$E$13,0)</f>
        <v>0</v>
      </c>
      <c r="BF40" s="244">
        <f>IF(AND((OR($F40="B",$F40="C")),$F19=0,R19&gt;0),$Z40*$BT40,0)</f>
        <v>0</v>
      </c>
      <c r="BG40" s="242">
        <f>IF(AND(OR($F40="B",$F40="C")),$S19/'DATI (2)'!$E$13,0)</f>
        <v>0</v>
      </c>
      <c r="BH40" s="244">
        <f>IF(AND((OR($F40="B",$F40="C")),$S19&gt;0),$Z40*$BU40,0)</f>
        <v>0</v>
      </c>
      <c r="BJ40" s="242">
        <f>IF(AND($F40="A",$F19&gt;0),$R19/'DATI (2)'!$E$13,0)</f>
        <v>0</v>
      </c>
      <c r="BK40" s="244">
        <f>IF(AND($F40="a",$F19&gt;0),$Z40,0)</f>
        <v>0</v>
      </c>
      <c r="BL40" s="242">
        <f>IF(AND($F40="A",$F19=0),$R19/'DATI (2)'!$E$13,0)</f>
        <v>0</v>
      </c>
      <c r="BM40" s="244">
        <f>IF(AND($F40="a",$F19=0,R19&gt;0),$Z40*$BT40,0)</f>
        <v>0</v>
      </c>
      <c r="BN40" s="242">
        <f>IF(AND($F40="A"),$S19/'DATI (2)'!$E$13,0)</f>
        <v>0</v>
      </c>
      <c r="BO40" s="244">
        <f>IF(AND($F40="a",$S19&gt;0),$Z40*$BU40,0)</f>
        <v>0</v>
      </c>
      <c r="BQ40" s="245">
        <f>Q19</f>
      </c>
      <c r="BR40" s="245">
        <f>R19/'DATI (2)'!$E$13</f>
        <v>0</v>
      </c>
      <c r="BS40" s="245">
        <f>S19/'DATI (2)'!$E$14</f>
        <v>0</v>
      </c>
      <c r="BT40" s="245" t="e">
        <f>BR40/BQ40</f>
        <v>#DIV/0!</v>
      </c>
      <c r="BU40" s="245" t="e">
        <f>BS40/BQ40</f>
        <v>#DIV/0!</v>
      </c>
      <c r="BW40" s="68">
        <f>IF(F40="E",$Q$41*G40/$AI$41,0)</f>
        <v>0</v>
      </c>
    </row>
    <row r="41" spans="4:75" s="196" customFormat="1" ht="21" customHeight="1">
      <c r="D41" s="280" t="s">
        <v>125</v>
      </c>
      <c r="E41" s="280"/>
      <c r="F41" s="280"/>
      <c r="G41" s="280"/>
      <c r="H41" s="281">
        <f>SUM(H26:H40)</f>
        <v>114265.66320000001</v>
      </c>
      <c r="I41" s="281"/>
      <c r="J41" s="281"/>
      <c r="K41" s="282">
        <f>SUM(K26:K40)</f>
        <v>11426.566320000002</v>
      </c>
      <c r="L41" s="282"/>
      <c r="M41" s="282">
        <f>SUM(M26:M40)</f>
        <v>2285.3132640000003</v>
      </c>
      <c r="N41" s="282"/>
      <c r="O41" s="283">
        <f>SUM(O26:O40)</f>
        <v>91.41253056000002</v>
      </c>
      <c r="P41" s="283">
        <f>SUM(P26:P40)</f>
        <v>522.8796748032001</v>
      </c>
      <c r="Q41" s="283">
        <f>IF(A5&gt;0,MIN(MAXA(5000,(SUM(Q26:Q40))),20000),0)</f>
        <v>5000</v>
      </c>
      <c r="R41" s="283">
        <f>Q41*0.22</f>
        <v>1100</v>
      </c>
      <c r="S41" s="283">
        <f>SUM(S26:S40)</f>
        <v>1713.984948</v>
      </c>
      <c r="T41" s="283">
        <f>SUM(T26:T40)</f>
        <v>34.279698960000005</v>
      </c>
      <c r="U41" s="283">
        <f>SUM(U26:U40)</f>
        <v>384.6182223312</v>
      </c>
      <c r="V41" s="283">
        <f>SUM(V26:V40)</f>
        <v>17139.84948</v>
      </c>
      <c r="W41" s="283">
        <f>SUM(W26:W40)</f>
        <v>685.5939792</v>
      </c>
      <c r="X41" s="283">
        <f>SUM(X26:X40)</f>
        <v>3921.597561024</v>
      </c>
      <c r="Y41" s="283">
        <f>SUM(Y26:Y40)</f>
        <v>44306.0956788784</v>
      </c>
      <c r="Z41" s="284">
        <f>SUM(Z26:AA40)</f>
        <v>158571.7588788784</v>
      </c>
      <c r="AA41" s="284"/>
      <c r="AB41" s="284"/>
      <c r="AC41" s="285"/>
      <c r="AF41" s="286"/>
      <c r="AG41" s="287" t="s">
        <v>125</v>
      </c>
      <c r="AH41" s="288">
        <f>SUM(AH26:AH40)</f>
        <v>89.505</v>
      </c>
      <c r="AI41" s="288">
        <f>SUM(AI26:AI40)</f>
        <v>105.3</v>
      </c>
      <c r="AJ41" s="288">
        <f>SUM(AJ26:AJ40)</f>
        <v>0</v>
      </c>
      <c r="AK41" s="288">
        <f>SUM(AK26:AK40)-AM41</f>
        <v>0</v>
      </c>
      <c r="AL41" s="288">
        <f>SUM(AL26:AL40)</f>
        <v>0</v>
      </c>
      <c r="AM41" s="288">
        <f>SUM(AM26:AM40)</f>
        <v>0</v>
      </c>
      <c r="AN41" s="288">
        <f>SUM(AN26:AN40)</f>
        <v>0</v>
      </c>
      <c r="AQ41" s="289">
        <f>SUM(AQ26:AQ40)</f>
        <v>105.3</v>
      </c>
      <c r="AR41" s="289">
        <f>SUM(AR26:AR40)</f>
        <v>0</v>
      </c>
      <c r="AS41" s="289">
        <f>SUM(AS26:AS40)</f>
        <v>105.3</v>
      </c>
      <c r="AT41" s="289">
        <f>SUM(AT26:AT40)</f>
        <v>0</v>
      </c>
      <c r="AU41" s="70"/>
      <c r="AV41" s="289">
        <f>SUM(AV26:AV40)</f>
        <v>0</v>
      </c>
      <c r="AW41" s="290">
        <f>SUM(AW26:AW40)</f>
        <v>0</v>
      </c>
      <c r="AX41" s="289">
        <f>SUM(AX26:AX40)</f>
        <v>105.3</v>
      </c>
      <c r="AY41" s="290">
        <f>SUM(AY26:AY40)</f>
        <v>158571.7588788784</v>
      </c>
      <c r="AZ41" s="289">
        <f>SUM(AZ26:AZ40)</f>
        <v>0</v>
      </c>
      <c r="BA41" s="290">
        <f>SUM(BA26:BA40)</f>
        <v>0</v>
      </c>
      <c r="BB41" s="68"/>
      <c r="BC41" s="289">
        <f>SUM(BC26:BC40)</f>
        <v>0</v>
      </c>
      <c r="BD41" s="290">
        <f>SUM(BD26:BD40)</f>
        <v>0</v>
      </c>
      <c r="BE41" s="289">
        <f>SUM(BE26:BE40)</f>
        <v>0</v>
      </c>
      <c r="BF41" s="290">
        <f>SUM(BF26:BF40)</f>
        <v>0</v>
      </c>
      <c r="BG41" s="289">
        <f>SUM(BG26:BG40)</f>
        <v>0</v>
      </c>
      <c r="BH41" s="289">
        <f>SUM(BH26:BH40)</f>
        <v>0</v>
      </c>
      <c r="BI41" s="68"/>
      <c r="BJ41" s="289">
        <f>SUM(BJ26:BJ40)</f>
        <v>0</v>
      </c>
      <c r="BK41" s="290">
        <f>SUM(BK26:BK40)</f>
        <v>0</v>
      </c>
      <c r="BL41" s="289">
        <f>SUM(BL26:BL40)</f>
        <v>0</v>
      </c>
      <c r="BM41" s="290">
        <f>SUM(BM26:BM40)</f>
        <v>0</v>
      </c>
      <c r="BN41" s="289">
        <f>SUM(BN26:BN40)</f>
        <v>0</v>
      </c>
      <c r="BO41" s="289">
        <f>SUM(BO26:BO40)</f>
        <v>0</v>
      </c>
      <c r="BW41" s="196">
        <f>SUM(BW26:BW40)</f>
        <v>5000</v>
      </c>
    </row>
    <row r="42" spans="32:67" ht="12.75">
      <c r="AF42" s="291"/>
      <c r="AG42" s="292" t="s">
        <v>126</v>
      </c>
      <c r="AH42" s="293">
        <f>COUNTIF($N$5:$N$19,"E")</f>
        <v>1</v>
      </c>
      <c r="AI42" s="294">
        <f>COUNTIF($N$5:$N$19,"B")+COUNTIF($N$5:$N$19,"C")</f>
        <v>0</v>
      </c>
      <c r="AJ42" s="294">
        <f>COUNTIF($N$5:$N$19,"B")+COUNTIF($N$5:$N$19,"C")</f>
        <v>0</v>
      </c>
      <c r="AK42" s="294">
        <f>AK43-AL42</f>
        <v>0</v>
      </c>
      <c r="AL42" s="294">
        <f>SUM(AL26:AL40)</f>
        <v>0</v>
      </c>
      <c r="AM42" s="294">
        <f>SUM(AM26:AM40)</f>
        <v>0</v>
      </c>
      <c r="AN42" s="294">
        <f>SUM(AN26:AN40)</f>
        <v>0</v>
      </c>
      <c r="AQ42" s="295">
        <f>COUNTIF($P$4:$P$18,"E")</f>
        <v>0</v>
      </c>
      <c r="AR42" s="295"/>
      <c r="AS42" s="295">
        <f>COUNTIF($P$4:$P$18,"E")</f>
        <v>0</v>
      </c>
      <c r="AT42" s="295">
        <f>COUNTIF($P$4:$P$18,"E")</f>
        <v>0</v>
      </c>
      <c r="AV42" s="295">
        <f>COUNTIF(AV26:AV40,"&gt;0")</f>
        <v>0</v>
      </c>
      <c r="AW42" s="295"/>
      <c r="AX42" s="295">
        <f>COUNTIF(AX26:AX40,"&gt;0")</f>
        <v>1</v>
      </c>
      <c r="AY42" s="295"/>
      <c r="AZ42" s="295">
        <f>COUNTIF(AZ26:AZ40,"&gt;0")</f>
        <v>0</v>
      </c>
      <c r="BA42" s="295"/>
      <c r="BC42" s="295">
        <f>COUNTIF(BC26:BC40,"&gt;0")</f>
        <v>0</v>
      </c>
      <c r="BD42" s="295"/>
      <c r="BE42" s="295">
        <f>COUNTIF(BE26:BE40,"&gt;0")</f>
        <v>0</v>
      </c>
      <c r="BF42" s="295"/>
      <c r="BG42" s="295">
        <f>COUNTIF(BG26:BG40,"&gt;0")</f>
        <v>0</v>
      </c>
      <c r="BH42" s="295">
        <f>COUNTIF(BH26:BH40,"&gt;0")</f>
        <v>0</v>
      </c>
      <c r="BJ42" s="295">
        <f>COUNTIF(BJ26:BJ40,"&gt;0")</f>
        <v>0</v>
      </c>
      <c r="BK42" s="295"/>
      <c r="BL42" s="295">
        <f>COUNTIF(BL26:BL40,"&gt;0")</f>
        <v>0</v>
      </c>
      <c r="BM42" s="295"/>
      <c r="BN42" s="295">
        <f>COUNTIF(BN26:BN40,"&gt;0")</f>
        <v>0</v>
      </c>
      <c r="BO42" s="295">
        <f>COUNTIF(BO26:BO40,"&gt;0")</f>
        <v>0</v>
      </c>
    </row>
    <row r="43" spans="4:39" ht="12.75">
      <c r="D43" s="68" t="s">
        <v>127</v>
      </c>
      <c r="AF43" s="151"/>
      <c r="AG43" s="151"/>
      <c r="AH43" s="151"/>
      <c r="AI43" s="296" t="s">
        <v>128</v>
      </c>
      <c r="AJ43" s="296" t="s">
        <v>128</v>
      </c>
      <c r="AK43" s="297">
        <f>COUNTIF($N$5:$N$19,"A")</f>
        <v>0</v>
      </c>
      <c r="AL43" s="151"/>
      <c r="AM43" s="151"/>
    </row>
    <row r="44" spans="4:39" ht="12.75">
      <c r="D44" s="68" t="s">
        <v>129</v>
      </c>
      <c r="AF44" s="151"/>
      <c r="AG44" s="151"/>
      <c r="AH44" s="151"/>
      <c r="AI44" s="296" t="s">
        <v>128</v>
      </c>
      <c r="AJ44" s="296" t="s">
        <v>128</v>
      </c>
      <c r="AK44" s="294">
        <f>SUM(AK26:AK40)</f>
        <v>0</v>
      </c>
      <c r="AL44" s="151"/>
      <c r="AM44" s="151"/>
    </row>
    <row r="45" spans="4:64" ht="12.75">
      <c r="D45" s="68" t="s">
        <v>130</v>
      </c>
      <c r="AF45" s="151"/>
      <c r="AG45" s="151"/>
      <c r="AH45" s="151"/>
      <c r="AI45" s="68" t="s">
        <v>131</v>
      </c>
      <c r="AJ45" s="151"/>
      <c r="AK45" s="294">
        <f>(SUM(S5:S19)/'DATI (2)'!$E$14)</f>
        <v>0</v>
      </c>
      <c r="AL45" s="151"/>
      <c r="AM45" s="151"/>
      <c r="BJ45" s="264">
        <f>$BM$41+$BK$41+$BO$41+$BH$41+$BF$41+$BD$41+$BA$41+$AY$41+$AW$41</f>
        <v>158571.7588788784</v>
      </c>
      <c r="BK45" s="264">
        <f>$Z$41</f>
        <v>158571.7588788784</v>
      </c>
      <c r="BL45" s="264">
        <f>BJ45-BK45</f>
        <v>0</v>
      </c>
    </row>
    <row r="46" spans="20:42" ht="12.75">
      <c r="T46" s="198"/>
      <c r="AF46" s="151"/>
      <c r="AG46" s="151"/>
      <c r="AH46" s="151"/>
      <c r="AI46" s="151"/>
      <c r="AJ46" s="151"/>
      <c r="AK46" s="151"/>
      <c r="AL46" s="151"/>
      <c r="AM46" s="71"/>
      <c r="AN46" s="71"/>
      <c r="AO46" s="71"/>
      <c r="AP46" s="71"/>
    </row>
    <row r="47" spans="32:42" ht="12.75"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</row>
    <row r="48" spans="32:42" ht="12.75"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</row>
    <row r="49" spans="32:42" ht="12.75"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</row>
  </sheetData>
  <sheetProtection selectLockedCells="1" selectUnlockedCells="1"/>
  <mergeCells count="78">
    <mergeCell ref="D3:T3"/>
    <mergeCell ref="U3:AC3"/>
    <mergeCell ref="D24:X24"/>
    <mergeCell ref="Y24:AC24"/>
    <mergeCell ref="AI24:AK24"/>
    <mergeCell ref="AL24:AM24"/>
    <mergeCell ref="AV24:BO24"/>
    <mergeCell ref="H25:J25"/>
    <mergeCell ref="K25:L25"/>
    <mergeCell ref="M25:N25"/>
    <mergeCell ref="Z25:AA25"/>
    <mergeCell ref="AB25:AC25"/>
    <mergeCell ref="H26:J26"/>
    <mergeCell ref="K26:L26"/>
    <mergeCell ref="M26:N26"/>
    <mergeCell ref="Z26:AA26"/>
    <mergeCell ref="AB26:AC40"/>
    <mergeCell ref="H27:J27"/>
    <mergeCell ref="K27:L27"/>
    <mergeCell ref="M27:N27"/>
    <mergeCell ref="Z27:AA27"/>
    <mergeCell ref="H28:J28"/>
    <mergeCell ref="K28:L28"/>
    <mergeCell ref="M28:N28"/>
    <mergeCell ref="Z28:AA28"/>
    <mergeCell ref="H29:J29"/>
    <mergeCell ref="K29:L29"/>
    <mergeCell ref="M29:N29"/>
    <mergeCell ref="Z29:AA29"/>
    <mergeCell ref="H30:J30"/>
    <mergeCell ref="K30:L30"/>
    <mergeCell ref="M30:N30"/>
    <mergeCell ref="Z30:AA30"/>
    <mergeCell ref="H31:J31"/>
    <mergeCell ref="K31:L31"/>
    <mergeCell ref="M31:N31"/>
    <mergeCell ref="Z31:AA31"/>
    <mergeCell ref="H32:J32"/>
    <mergeCell ref="K32:L32"/>
    <mergeCell ref="M32:N32"/>
    <mergeCell ref="Z32:AA32"/>
    <mergeCell ref="H33:J33"/>
    <mergeCell ref="K33:L33"/>
    <mergeCell ref="M33:N33"/>
    <mergeCell ref="Z33:AA33"/>
    <mergeCell ref="H34:J34"/>
    <mergeCell ref="K34:L34"/>
    <mergeCell ref="M34:N34"/>
    <mergeCell ref="Z34:AA34"/>
    <mergeCell ref="H35:J35"/>
    <mergeCell ref="K35:L35"/>
    <mergeCell ref="M35:N35"/>
    <mergeCell ref="Z35:AA35"/>
    <mergeCell ref="H36:J36"/>
    <mergeCell ref="K36:L36"/>
    <mergeCell ref="M36:N36"/>
    <mergeCell ref="Z36:AA36"/>
    <mergeCell ref="H37:J37"/>
    <mergeCell ref="K37:L37"/>
    <mergeCell ref="M37:N37"/>
    <mergeCell ref="Z37:AA37"/>
    <mergeCell ref="H38:J38"/>
    <mergeCell ref="K38:L38"/>
    <mergeCell ref="M38:N38"/>
    <mergeCell ref="Z38:AA38"/>
    <mergeCell ref="H39:J39"/>
    <mergeCell ref="K39:L39"/>
    <mergeCell ref="M39:N39"/>
    <mergeCell ref="Z39:AA39"/>
    <mergeCell ref="H40:J40"/>
    <mergeCell ref="K40:L40"/>
    <mergeCell ref="M40:N40"/>
    <mergeCell ref="Z40:AA40"/>
    <mergeCell ref="D41:G41"/>
    <mergeCell ref="H41:J41"/>
    <mergeCell ref="K41:L41"/>
    <mergeCell ref="M41:N41"/>
    <mergeCell ref="Z41:AA41"/>
  </mergeCells>
  <conditionalFormatting sqref="S26:U4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Chiaromondo soc. coop.</cp:lastModifiedBy>
  <dcterms:modified xsi:type="dcterms:W3CDTF">2013-10-30T15:32:13Z</dcterms:modified>
  <cp:category/>
  <cp:version/>
  <cp:contentType/>
  <cp:contentStatus/>
  <cp:revision>6</cp:revision>
</cp:coreProperties>
</file>